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F:\Backup 2019.03.09\Documentazione\Solare Termico\Moduli Idraulici_OK\Sizing Tool\"/>
    </mc:Choice>
  </mc:AlternateContent>
  <xr:revisionPtr revIDLastSave="0" documentId="8_{C52473BC-DA02-4C96-8656-78B8F27D09B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IT" sheetId="2" r:id="rId1"/>
    <sheet name="EN" sheetId="3" r:id="rId2"/>
    <sheet name="FR" sheetId="1" r:id="rId3"/>
    <sheet name="DE" sheetId="4" r:id="rId4"/>
  </sheets>
  <definedNames>
    <definedName name="_xlnm.Print_Area" localSheetId="3">DE!$A$1:$M$125</definedName>
    <definedName name="_xlnm.Print_Area" localSheetId="1">EN!$A$1:$M$125</definedName>
    <definedName name="_xlnm.Print_Area" localSheetId="2">FR!$A$1:$M$125</definedName>
    <definedName name="_xlnm.Print_Area" localSheetId="0">IT!$A$1:$M$125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7" i="4" l="1"/>
  <c r="B43" i="4"/>
  <c r="B80" i="4"/>
  <c r="I112" i="4"/>
  <c r="I75" i="4"/>
  <c r="I38" i="4"/>
  <c r="B110" i="4"/>
  <c r="B73" i="4"/>
  <c r="B36" i="4"/>
  <c r="H58" i="4"/>
  <c r="I62" i="4"/>
  <c r="K62" i="4"/>
  <c r="H95" i="4"/>
  <c r="H21" i="4"/>
  <c r="J117" i="4"/>
  <c r="I117" i="4"/>
  <c r="P115" i="4"/>
  <c r="Q114" i="4"/>
  <c r="O114" i="4"/>
  <c r="Q113" i="4"/>
  <c r="O113" i="4"/>
  <c r="Q112" i="4"/>
  <c r="O112" i="4"/>
  <c r="O115" i="4" s="1"/>
  <c r="J112" i="4"/>
  <c r="W103" i="4"/>
  <c r="O103" i="4"/>
  <c r="P103" i="4" s="1"/>
  <c r="W102" i="4"/>
  <c r="O102" i="4"/>
  <c r="P102" i="4" s="1"/>
  <c r="W101" i="4"/>
  <c r="O101" i="4"/>
  <c r="P101" i="4" s="1"/>
  <c r="E99" i="4"/>
  <c r="X93" i="4"/>
  <c r="W93" i="4"/>
  <c r="V93" i="4"/>
  <c r="O93" i="4"/>
  <c r="X92" i="4"/>
  <c r="W92" i="4"/>
  <c r="V92" i="4"/>
  <c r="O92" i="4"/>
  <c r="X91" i="4"/>
  <c r="W91" i="4"/>
  <c r="V91" i="4"/>
  <c r="O91" i="4"/>
  <c r="X90" i="4"/>
  <c r="W90" i="4"/>
  <c r="V90" i="4"/>
  <c r="O90" i="4"/>
  <c r="X89" i="4"/>
  <c r="W89" i="4"/>
  <c r="V89" i="4"/>
  <c r="O89" i="4"/>
  <c r="X88" i="4"/>
  <c r="W88" i="4"/>
  <c r="V88" i="4"/>
  <c r="O88" i="4"/>
  <c r="X87" i="4"/>
  <c r="W87" i="4"/>
  <c r="V87" i="4"/>
  <c r="O87" i="4"/>
  <c r="X86" i="4"/>
  <c r="W86" i="4"/>
  <c r="V86" i="4"/>
  <c r="O86" i="4"/>
  <c r="X85" i="4"/>
  <c r="W85" i="4"/>
  <c r="V85" i="4"/>
  <c r="O85" i="4"/>
  <c r="X84" i="4"/>
  <c r="W84" i="4"/>
  <c r="V84" i="4"/>
  <c r="O84" i="4"/>
  <c r="Q107" i="4" s="1"/>
  <c r="S107" i="4" s="1"/>
  <c r="J80" i="4"/>
  <c r="P78" i="4"/>
  <c r="Q77" i="4"/>
  <c r="O77" i="4"/>
  <c r="Q76" i="4"/>
  <c r="O76" i="4"/>
  <c r="Q75" i="4"/>
  <c r="O75" i="4"/>
  <c r="I80" i="4" s="1"/>
  <c r="J75" i="4"/>
  <c r="W66" i="4"/>
  <c r="O66" i="4"/>
  <c r="Q66" i="4" s="1"/>
  <c r="W65" i="4"/>
  <c r="O65" i="4"/>
  <c r="Q65" i="4" s="1"/>
  <c r="W64" i="4"/>
  <c r="O64" i="4"/>
  <c r="E62" i="4"/>
  <c r="X56" i="4"/>
  <c r="W56" i="4"/>
  <c r="V56" i="4"/>
  <c r="O56" i="4"/>
  <c r="X55" i="4"/>
  <c r="W55" i="4"/>
  <c r="V55" i="4"/>
  <c r="O55" i="4"/>
  <c r="X54" i="4"/>
  <c r="W54" i="4"/>
  <c r="V54" i="4"/>
  <c r="O54" i="4"/>
  <c r="X53" i="4"/>
  <c r="W53" i="4"/>
  <c r="V53" i="4"/>
  <c r="O53" i="4"/>
  <c r="X52" i="4"/>
  <c r="W52" i="4"/>
  <c r="V52" i="4"/>
  <c r="O52" i="4"/>
  <c r="X51" i="4"/>
  <c r="W51" i="4"/>
  <c r="V51" i="4"/>
  <c r="O51" i="4"/>
  <c r="X50" i="4"/>
  <c r="W50" i="4"/>
  <c r="V50" i="4"/>
  <c r="O50" i="4"/>
  <c r="X49" i="4"/>
  <c r="W49" i="4"/>
  <c r="V49" i="4"/>
  <c r="O49" i="4"/>
  <c r="X48" i="4"/>
  <c r="W48" i="4"/>
  <c r="V48" i="4"/>
  <c r="O48" i="4"/>
  <c r="X47" i="4"/>
  <c r="W47" i="4"/>
  <c r="V47" i="4"/>
  <c r="O47" i="4"/>
  <c r="Q70" i="4" s="1"/>
  <c r="S70" i="4" s="1"/>
  <c r="J43" i="4"/>
  <c r="I43" i="4"/>
  <c r="P41" i="4"/>
  <c r="Q40" i="4"/>
  <c r="O40" i="4"/>
  <c r="Q39" i="4"/>
  <c r="O39" i="4"/>
  <c r="Q38" i="4"/>
  <c r="O38" i="4"/>
  <c r="J38" i="4"/>
  <c r="W29" i="4"/>
  <c r="O29" i="4"/>
  <c r="P29" i="4" s="1"/>
  <c r="W28" i="4"/>
  <c r="O28" i="4"/>
  <c r="P28" i="4" s="1"/>
  <c r="W27" i="4"/>
  <c r="O27" i="4"/>
  <c r="P27" i="4" s="1"/>
  <c r="K25" i="4"/>
  <c r="E25" i="4"/>
  <c r="X19" i="4"/>
  <c r="W19" i="4"/>
  <c r="V19" i="4"/>
  <c r="O19" i="4"/>
  <c r="X18" i="4"/>
  <c r="W18" i="4"/>
  <c r="V18" i="4"/>
  <c r="O18" i="4"/>
  <c r="X17" i="4"/>
  <c r="W17" i="4"/>
  <c r="V17" i="4"/>
  <c r="O17" i="4"/>
  <c r="X16" i="4"/>
  <c r="W16" i="4"/>
  <c r="V16" i="4"/>
  <c r="O16" i="4"/>
  <c r="X15" i="4"/>
  <c r="W15" i="4"/>
  <c r="V15" i="4"/>
  <c r="O15" i="4"/>
  <c r="X14" i="4"/>
  <c r="W14" i="4"/>
  <c r="V14" i="4"/>
  <c r="O14" i="4"/>
  <c r="X13" i="4"/>
  <c r="W13" i="4"/>
  <c r="V13" i="4"/>
  <c r="O13" i="4"/>
  <c r="X12" i="4"/>
  <c r="W12" i="4"/>
  <c r="V12" i="4"/>
  <c r="O12" i="4"/>
  <c r="X11" i="4"/>
  <c r="W11" i="4"/>
  <c r="V11" i="4"/>
  <c r="O11" i="4"/>
  <c r="X10" i="4"/>
  <c r="W10" i="4"/>
  <c r="V10" i="4"/>
  <c r="O10" i="4"/>
  <c r="Q33" i="4" s="1"/>
  <c r="S33" i="4" s="1"/>
  <c r="Q29" i="4" l="1"/>
  <c r="P30" i="4"/>
  <c r="Q28" i="4"/>
  <c r="O41" i="4"/>
  <c r="O67" i="4"/>
  <c r="P104" i="4"/>
  <c r="Q27" i="4"/>
  <c r="P64" i="4"/>
  <c r="P65" i="4"/>
  <c r="P66" i="4"/>
  <c r="Q64" i="4"/>
  <c r="Q67" i="4" s="1"/>
  <c r="Q30" i="4"/>
  <c r="I70" i="4"/>
  <c r="I71" i="4"/>
  <c r="I69" i="4"/>
  <c r="O30" i="4"/>
  <c r="N62" i="4"/>
  <c r="O78" i="4"/>
  <c r="K99" i="4"/>
  <c r="K5" i="4" s="1"/>
  <c r="Q101" i="4"/>
  <c r="Q102" i="4"/>
  <c r="Q103" i="4"/>
  <c r="I25" i="4"/>
  <c r="N25" i="4" s="1"/>
  <c r="O104" i="4"/>
  <c r="I99" i="4"/>
  <c r="N99" i="4" s="1"/>
  <c r="B110" i="3"/>
  <c r="B36" i="3"/>
  <c r="B73" i="3"/>
  <c r="B43" i="3"/>
  <c r="B80" i="3"/>
  <c r="B117" i="3"/>
  <c r="I112" i="3"/>
  <c r="I38" i="3"/>
  <c r="I75" i="3"/>
  <c r="H95" i="3"/>
  <c r="H58" i="3"/>
  <c r="H21" i="3"/>
  <c r="J117" i="3"/>
  <c r="I117" i="3"/>
  <c r="P115" i="3"/>
  <c r="Q114" i="3"/>
  <c r="O114" i="3"/>
  <c r="Q113" i="3"/>
  <c r="O113" i="3"/>
  <c r="O115" i="3" s="1"/>
  <c r="Q112" i="3"/>
  <c r="O112" i="3"/>
  <c r="J112" i="3"/>
  <c r="I107" i="3"/>
  <c r="I106" i="3"/>
  <c r="I108" i="3" s="1"/>
  <c r="W103" i="3"/>
  <c r="Q103" i="3"/>
  <c r="P103" i="3"/>
  <c r="O103" i="3"/>
  <c r="W102" i="3"/>
  <c r="Q102" i="3"/>
  <c r="P102" i="3"/>
  <c r="O102" i="3"/>
  <c r="W101" i="3"/>
  <c r="Q101" i="3"/>
  <c r="Q104" i="3" s="1"/>
  <c r="P101" i="3"/>
  <c r="P104" i="3" s="1"/>
  <c r="O101" i="3"/>
  <c r="O104" i="3" s="1"/>
  <c r="I99" i="3"/>
  <c r="E99" i="3"/>
  <c r="K99" i="3" s="1"/>
  <c r="X93" i="3"/>
  <c r="W93" i="3"/>
  <c r="V93" i="3"/>
  <c r="O93" i="3"/>
  <c r="X92" i="3"/>
  <c r="W92" i="3"/>
  <c r="V92" i="3"/>
  <c r="O92" i="3"/>
  <c r="X91" i="3"/>
  <c r="W91" i="3"/>
  <c r="V91" i="3"/>
  <c r="O91" i="3"/>
  <c r="X90" i="3"/>
  <c r="W90" i="3"/>
  <c r="V90" i="3"/>
  <c r="O90" i="3"/>
  <c r="X89" i="3"/>
  <c r="W89" i="3"/>
  <c r="V89" i="3"/>
  <c r="O89" i="3"/>
  <c r="X88" i="3"/>
  <c r="W88" i="3"/>
  <c r="V88" i="3"/>
  <c r="O88" i="3"/>
  <c r="X87" i="3"/>
  <c r="W87" i="3"/>
  <c r="V87" i="3"/>
  <c r="O87" i="3"/>
  <c r="X86" i="3"/>
  <c r="W86" i="3"/>
  <c r="V86" i="3"/>
  <c r="O86" i="3"/>
  <c r="X85" i="3"/>
  <c r="W85" i="3"/>
  <c r="V85" i="3"/>
  <c r="O85" i="3"/>
  <c r="X84" i="3"/>
  <c r="W84" i="3"/>
  <c r="V84" i="3"/>
  <c r="O84" i="3"/>
  <c r="Q107" i="3" s="1"/>
  <c r="S107" i="3" s="1"/>
  <c r="J80" i="3"/>
  <c r="I80" i="3"/>
  <c r="P78" i="3"/>
  <c r="Q77" i="3"/>
  <c r="O77" i="3"/>
  <c r="Q76" i="3"/>
  <c r="O76" i="3"/>
  <c r="Q75" i="3"/>
  <c r="O75" i="3"/>
  <c r="J75" i="3"/>
  <c r="I70" i="3"/>
  <c r="I69" i="3"/>
  <c r="I71" i="3" s="1"/>
  <c r="W66" i="3"/>
  <c r="O66" i="3"/>
  <c r="Q66" i="3" s="1"/>
  <c r="W65" i="3"/>
  <c r="O65" i="3"/>
  <c r="Q65" i="3" s="1"/>
  <c r="W64" i="3"/>
  <c r="O64" i="3"/>
  <c r="P64" i="3" s="1"/>
  <c r="E62" i="3"/>
  <c r="X56" i="3"/>
  <c r="W56" i="3"/>
  <c r="V56" i="3"/>
  <c r="O56" i="3"/>
  <c r="X55" i="3"/>
  <c r="W55" i="3"/>
  <c r="V55" i="3"/>
  <c r="O55" i="3"/>
  <c r="X54" i="3"/>
  <c r="W54" i="3"/>
  <c r="V54" i="3"/>
  <c r="O54" i="3"/>
  <c r="X53" i="3"/>
  <c r="W53" i="3"/>
  <c r="V53" i="3"/>
  <c r="O53" i="3"/>
  <c r="X52" i="3"/>
  <c r="W52" i="3"/>
  <c r="V52" i="3"/>
  <c r="O52" i="3"/>
  <c r="X51" i="3"/>
  <c r="W51" i="3"/>
  <c r="V51" i="3"/>
  <c r="O51" i="3"/>
  <c r="X50" i="3"/>
  <c r="W50" i="3"/>
  <c r="V50" i="3"/>
  <c r="O50" i="3"/>
  <c r="X49" i="3"/>
  <c r="W49" i="3"/>
  <c r="V49" i="3"/>
  <c r="O49" i="3"/>
  <c r="X48" i="3"/>
  <c r="W48" i="3"/>
  <c r="V48" i="3"/>
  <c r="O48" i="3"/>
  <c r="X47" i="3"/>
  <c r="W47" i="3"/>
  <c r="V47" i="3"/>
  <c r="I62" i="3" s="1"/>
  <c r="O47" i="3"/>
  <c r="Q70" i="3" s="1"/>
  <c r="S70" i="3" s="1"/>
  <c r="J43" i="3"/>
  <c r="I43" i="3"/>
  <c r="P41" i="3"/>
  <c r="Q40" i="3"/>
  <c r="O40" i="3"/>
  <c r="Q39" i="3"/>
  <c r="O39" i="3"/>
  <c r="Q38" i="3"/>
  <c r="O38" i="3"/>
  <c r="O41" i="3" s="1"/>
  <c r="J38" i="3"/>
  <c r="I33" i="3"/>
  <c r="I32" i="3"/>
  <c r="W29" i="3"/>
  <c r="O29" i="3"/>
  <c r="Q29" i="3" s="1"/>
  <c r="W28" i="3"/>
  <c r="O28" i="3"/>
  <c r="Q28" i="3" s="1"/>
  <c r="W27" i="3"/>
  <c r="O27" i="3"/>
  <c r="Q27" i="3" s="1"/>
  <c r="K25" i="3"/>
  <c r="I25" i="3"/>
  <c r="E25" i="3"/>
  <c r="N25" i="3" s="1"/>
  <c r="X19" i="3"/>
  <c r="W19" i="3"/>
  <c r="V19" i="3"/>
  <c r="O19" i="3"/>
  <c r="X18" i="3"/>
  <c r="W18" i="3"/>
  <c r="V18" i="3"/>
  <c r="O18" i="3"/>
  <c r="X17" i="3"/>
  <c r="W17" i="3"/>
  <c r="V17" i="3"/>
  <c r="O17" i="3"/>
  <c r="X16" i="3"/>
  <c r="W16" i="3"/>
  <c r="V16" i="3"/>
  <c r="O16" i="3"/>
  <c r="X15" i="3"/>
  <c r="W15" i="3"/>
  <c r="V15" i="3"/>
  <c r="O15" i="3"/>
  <c r="X14" i="3"/>
  <c r="W14" i="3"/>
  <c r="V14" i="3"/>
  <c r="O14" i="3"/>
  <c r="X13" i="3"/>
  <c r="W13" i="3"/>
  <c r="V13" i="3"/>
  <c r="O13" i="3"/>
  <c r="X12" i="3"/>
  <c r="W12" i="3"/>
  <c r="V12" i="3"/>
  <c r="O12" i="3"/>
  <c r="X11" i="3"/>
  <c r="W11" i="3"/>
  <c r="V11" i="3"/>
  <c r="O11" i="3"/>
  <c r="X10" i="3"/>
  <c r="W10" i="3"/>
  <c r="V10" i="3"/>
  <c r="O10" i="3"/>
  <c r="Q33" i="3" s="1"/>
  <c r="S33" i="3" s="1"/>
  <c r="O78" i="3" l="1"/>
  <c r="I34" i="3"/>
  <c r="P67" i="4"/>
  <c r="I107" i="4"/>
  <c r="Q104" i="4"/>
  <c r="I106" i="4" s="1"/>
  <c r="I108" i="4" s="1"/>
  <c r="I32" i="4"/>
  <c r="I34" i="4" s="1"/>
  <c r="I33" i="4"/>
  <c r="N99" i="3"/>
  <c r="N62" i="3"/>
  <c r="K62" i="3"/>
  <c r="K5" i="3" s="1"/>
  <c r="Q30" i="3"/>
  <c r="O67" i="3"/>
  <c r="O30" i="3"/>
  <c r="P65" i="3"/>
  <c r="P66" i="3"/>
  <c r="P27" i="3"/>
  <c r="P28" i="3"/>
  <c r="P29" i="3"/>
  <c r="Q64" i="3"/>
  <c r="Q67" i="3" s="1"/>
  <c r="I38" i="2"/>
  <c r="B117" i="2"/>
  <c r="B80" i="2"/>
  <c r="I112" i="2"/>
  <c r="I75" i="2"/>
  <c r="B110" i="2"/>
  <c r="B73" i="2"/>
  <c r="H95" i="2"/>
  <c r="H58" i="2"/>
  <c r="H21" i="2"/>
  <c r="B43" i="2"/>
  <c r="B36" i="2"/>
  <c r="J117" i="2"/>
  <c r="P115" i="2"/>
  <c r="Q114" i="2"/>
  <c r="O114" i="2"/>
  <c r="Q113" i="2"/>
  <c r="O113" i="2"/>
  <c r="Q112" i="2"/>
  <c r="O112" i="2"/>
  <c r="O115" i="2" s="1"/>
  <c r="J112" i="2"/>
  <c r="W103" i="2"/>
  <c r="O103" i="2"/>
  <c r="P103" i="2" s="1"/>
  <c r="W102" i="2"/>
  <c r="Q102" i="2"/>
  <c r="O102" i="2"/>
  <c r="P102" i="2" s="1"/>
  <c r="W101" i="2"/>
  <c r="O101" i="2"/>
  <c r="P101" i="2" s="1"/>
  <c r="E99" i="2"/>
  <c r="X93" i="2"/>
  <c r="W93" i="2"/>
  <c r="V93" i="2"/>
  <c r="O93" i="2"/>
  <c r="X92" i="2"/>
  <c r="W92" i="2"/>
  <c r="V92" i="2"/>
  <c r="O92" i="2"/>
  <c r="X91" i="2"/>
  <c r="W91" i="2"/>
  <c r="V91" i="2"/>
  <c r="O91" i="2"/>
  <c r="X90" i="2"/>
  <c r="W90" i="2"/>
  <c r="V90" i="2"/>
  <c r="O90" i="2"/>
  <c r="X89" i="2"/>
  <c r="W89" i="2"/>
  <c r="V89" i="2"/>
  <c r="O89" i="2"/>
  <c r="X88" i="2"/>
  <c r="W88" i="2"/>
  <c r="V88" i="2"/>
  <c r="O88" i="2"/>
  <c r="X87" i="2"/>
  <c r="W87" i="2"/>
  <c r="V87" i="2"/>
  <c r="O87" i="2"/>
  <c r="X86" i="2"/>
  <c r="W86" i="2"/>
  <c r="V86" i="2"/>
  <c r="O86" i="2"/>
  <c r="X85" i="2"/>
  <c r="W85" i="2"/>
  <c r="V85" i="2"/>
  <c r="O85" i="2"/>
  <c r="X84" i="2"/>
  <c r="W84" i="2"/>
  <c r="V84" i="2"/>
  <c r="O84" i="2"/>
  <c r="Q107" i="2" s="1"/>
  <c r="S107" i="2" s="1"/>
  <c r="I107" i="2" s="1"/>
  <c r="J80" i="2"/>
  <c r="P78" i="2"/>
  <c r="Q77" i="2"/>
  <c r="O77" i="2"/>
  <c r="Q76" i="2"/>
  <c r="O76" i="2"/>
  <c r="Q75" i="2"/>
  <c r="O75" i="2"/>
  <c r="J75" i="2"/>
  <c r="W66" i="2"/>
  <c r="O66" i="2"/>
  <c r="Q66" i="2" s="1"/>
  <c r="W65" i="2"/>
  <c r="O65" i="2"/>
  <c r="Q65" i="2" s="1"/>
  <c r="W64" i="2"/>
  <c r="O64" i="2"/>
  <c r="E62" i="2"/>
  <c r="K62" i="2" s="1"/>
  <c r="X56" i="2"/>
  <c r="W56" i="2"/>
  <c r="V56" i="2"/>
  <c r="O56" i="2"/>
  <c r="X55" i="2"/>
  <c r="W55" i="2"/>
  <c r="V55" i="2"/>
  <c r="O55" i="2"/>
  <c r="X54" i="2"/>
  <c r="W54" i="2"/>
  <c r="V54" i="2"/>
  <c r="O54" i="2"/>
  <c r="X53" i="2"/>
  <c r="W53" i="2"/>
  <c r="V53" i="2"/>
  <c r="O53" i="2"/>
  <c r="X52" i="2"/>
  <c r="W52" i="2"/>
  <c r="V52" i="2"/>
  <c r="O52" i="2"/>
  <c r="X51" i="2"/>
  <c r="W51" i="2"/>
  <c r="V51" i="2"/>
  <c r="O51" i="2"/>
  <c r="X50" i="2"/>
  <c r="W50" i="2"/>
  <c r="V50" i="2"/>
  <c r="O50" i="2"/>
  <c r="X49" i="2"/>
  <c r="W49" i="2"/>
  <c r="V49" i="2"/>
  <c r="O49" i="2"/>
  <c r="X48" i="2"/>
  <c r="W48" i="2"/>
  <c r="V48" i="2"/>
  <c r="O48" i="2"/>
  <c r="X47" i="2"/>
  <c r="W47" i="2"/>
  <c r="V47" i="2"/>
  <c r="O47" i="2"/>
  <c r="Q70" i="2" s="1"/>
  <c r="S70" i="2" s="1"/>
  <c r="J43" i="2"/>
  <c r="P41" i="2"/>
  <c r="Q40" i="2"/>
  <c r="O40" i="2"/>
  <c r="Q39" i="2"/>
  <c r="O39" i="2"/>
  <c r="Q38" i="2"/>
  <c r="O38" i="2"/>
  <c r="J38" i="2"/>
  <c r="I33" i="2"/>
  <c r="W29" i="2"/>
  <c r="O29" i="2"/>
  <c r="Q29" i="2" s="1"/>
  <c r="W28" i="2"/>
  <c r="O28" i="2"/>
  <c r="Q28" i="2" s="1"/>
  <c r="W27" i="2"/>
  <c r="O27" i="2"/>
  <c r="Q27" i="2" s="1"/>
  <c r="E25" i="2"/>
  <c r="K25" i="2" s="1"/>
  <c r="X19" i="2"/>
  <c r="W19" i="2"/>
  <c r="V19" i="2"/>
  <c r="O19" i="2"/>
  <c r="X18" i="2"/>
  <c r="W18" i="2"/>
  <c r="V18" i="2"/>
  <c r="O18" i="2"/>
  <c r="X17" i="2"/>
  <c r="W17" i="2"/>
  <c r="V17" i="2"/>
  <c r="O17" i="2"/>
  <c r="X16" i="2"/>
  <c r="W16" i="2"/>
  <c r="V16" i="2"/>
  <c r="O16" i="2"/>
  <c r="X15" i="2"/>
  <c r="W15" i="2"/>
  <c r="V15" i="2"/>
  <c r="O15" i="2"/>
  <c r="X14" i="2"/>
  <c r="W14" i="2"/>
  <c r="V14" i="2"/>
  <c r="O14" i="2"/>
  <c r="X13" i="2"/>
  <c r="W13" i="2"/>
  <c r="V13" i="2"/>
  <c r="O13" i="2"/>
  <c r="X12" i="2"/>
  <c r="W12" i="2"/>
  <c r="V12" i="2"/>
  <c r="O12" i="2"/>
  <c r="X11" i="2"/>
  <c r="W11" i="2"/>
  <c r="V11" i="2"/>
  <c r="O11" i="2"/>
  <c r="X10" i="2"/>
  <c r="I25" i="2" s="1"/>
  <c r="W10" i="2"/>
  <c r="V10" i="2"/>
  <c r="O10" i="2"/>
  <c r="Q33" i="2" s="1"/>
  <c r="S33" i="2" s="1"/>
  <c r="P67" i="3" l="1"/>
  <c r="P29" i="2"/>
  <c r="P28" i="2"/>
  <c r="O67" i="2"/>
  <c r="Q103" i="2"/>
  <c r="P27" i="2"/>
  <c r="O41" i="2"/>
  <c r="P64" i="2"/>
  <c r="O78" i="2"/>
  <c r="Q101" i="2"/>
  <c r="I99" i="2"/>
  <c r="N99" i="2" s="1"/>
  <c r="P66" i="2"/>
  <c r="P65" i="2"/>
  <c r="I62" i="2"/>
  <c r="N62" i="2" s="1"/>
  <c r="Q104" i="2"/>
  <c r="I106" i="2" s="1"/>
  <c r="I108" i="2" s="1"/>
  <c r="I70" i="2"/>
  <c r="Q64" i="2"/>
  <c r="Q67" i="2" s="1"/>
  <c r="Q30" i="2"/>
  <c r="I32" i="2" s="1"/>
  <c r="I34" i="2" s="1"/>
  <c r="I43" i="2"/>
  <c r="P30" i="3"/>
  <c r="K99" i="2"/>
  <c r="K5" i="2" s="1"/>
  <c r="I117" i="2"/>
  <c r="I80" i="2"/>
  <c r="N25" i="2"/>
  <c r="P104" i="2"/>
  <c r="O30" i="2"/>
  <c r="O104" i="2"/>
  <c r="I43" i="1"/>
  <c r="I38" i="1"/>
  <c r="I75" i="1"/>
  <c r="I112" i="1"/>
  <c r="E99" i="1"/>
  <c r="I117" i="1" s="1"/>
  <c r="E62" i="1"/>
  <c r="I80" i="1" s="1"/>
  <c r="X93" i="1"/>
  <c r="W93" i="1"/>
  <c r="V93" i="1"/>
  <c r="X92" i="1"/>
  <c r="W92" i="1"/>
  <c r="V92" i="1"/>
  <c r="X91" i="1"/>
  <c r="W91" i="1"/>
  <c r="V91" i="1"/>
  <c r="X90" i="1"/>
  <c r="W90" i="1"/>
  <c r="V90" i="1"/>
  <c r="X89" i="1"/>
  <c r="W89" i="1"/>
  <c r="V89" i="1"/>
  <c r="X88" i="1"/>
  <c r="W88" i="1"/>
  <c r="V88" i="1"/>
  <c r="X87" i="1"/>
  <c r="W87" i="1"/>
  <c r="V87" i="1"/>
  <c r="X86" i="1"/>
  <c r="W86" i="1"/>
  <c r="V86" i="1"/>
  <c r="X85" i="1"/>
  <c r="W85" i="1"/>
  <c r="V85" i="1"/>
  <c r="X84" i="1"/>
  <c r="W84" i="1"/>
  <c r="V84" i="1"/>
  <c r="X56" i="1"/>
  <c r="W56" i="1"/>
  <c r="V56" i="1"/>
  <c r="X55" i="1"/>
  <c r="W55" i="1"/>
  <c r="V55" i="1"/>
  <c r="X54" i="1"/>
  <c r="W54" i="1"/>
  <c r="V54" i="1"/>
  <c r="X53" i="1"/>
  <c r="W53" i="1"/>
  <c r="V53" i="1"/>
  <c r="X52" i="1"/>
  <c r="W52" i="1"/>
  <c r="V52" i="1"/>
  <c r="X51" i="1"/>
  <c r="W51" i="1"/>
  <c r="V51" i="1"/>
  <c r="X50" i="1"/>
  <c r="W50" i="1"/>
  <c r="V50" i="1"/>
  <c r="X49" i="1"/>
  <c r="W49" i="1"/>
  <c r="V49" i="1"/>
  <c r="X48" i="1"/>
  <c r="W48" i="1"/>
  <c r="V48" i="1"/>
  <c r="X47" i="1"/>
  <c r="W47" i="1"/>
  <c r="V47" i="1"/>
  <c r="X19" i="1"/>
  <c r="W19" i="1"/>
  <c r="X18" i="1"/>
  <c r="W18" i="1"/>
  <c r="X17" i="1"/>
  <c r="W17" i="1"/>
  <c r="X16" i="1"/>
  <c r="W16" i="1"/>
  <c r="X15" i="1"/>
  <c r="W15" i="1"/>
  <c r="X14" i="1"/>
  <c r="W14" i="1"/>
  <c r="V19" i="1"/>
  <c r="V18" i="1"/>
  <c r="V17" i="1"/>
  <c r="V16" i="1"/>
  <c r="V15" i="1"/>
  <c r="X13" i="1"/>
  <c r="W13" i="1"/>
  <c r="V14" i="1"/>
  <c r="V13" i="1"/>
  <c r="X12" i="1"/>
  <c r="W12" i="1"/>
  <c r="V12" i="1"/>
  <c r="X11" i="1"/>
  <c r="W11" i="1"/>
  <c r="V11" i="1"/>
  <c r="X10" i="1"/>
  <c r="W10" i="1"/>
  <c r="V10" i="1"/>
  <c r="P30" i="2" l="1"/>
  <c r="P67" i="2"/>
  <c r="I69" i="2"/>
  <c r="I71" i="2" s="1"/>
  <c r="K99" i="1"/>
  <c r="K62" i="1"/>
  <c r="J117" i="1"/>
  <c r="B117" i="1"/>
  <c r="J80" i="1"/>
  <c r="B80" i="1"/>
  <c r="J43" i="1"/>
  <c r="B43" i="1"/>
  <c r="J112" i="1"/>
  <c r="J75" i="1"/>
  <c r="J38" i="1"/>
  <c r="H21" i="1"/>
  <c r="H95" i="1"/>
  <c r="H58" i="1"/>
  <c r="P115" i="1"/>
  <c r="Q114" i="1"/>
  <c r="O114" i="1"/>
  <c r="Q113" i="1"/>
  <c r="O113" i="1"/>
  <c r="Q112" i="1"/>
  <c r="O112" i="1"/>
  <c r="B110" i="1"/>
  <c r="W103" i="1"/>
  <c r="O103" i="1"/>
  <c r="Q103" i="1" s="1"/>
  <c r="W102" i="1"/>
  <c r="O102" i="1"/>
  <c r="Q102" i="1" s="1"/>
  <c r="W101" i="1"/>
  <c r="O101" i="1"/>
  <c r="Q101" i="1" s="1"/>
  <c r="O93" i="1"/>
  <c r="O92" i="1"/>
  <c r="O91" i="1"/>
  <c r="O90" i="1"/>
  <c r="O89" i="1"/>
  <c r="O88" i="1"/>
  <c r="O87" i="1"/>
  <c r="O86" i="1"/>
  <c r="O85" i="1"/>
  <c r="O84" i="1"/>
  <c r="P78" i="1"/>
  <c r="Q77" i="1"/>
  <c r="O77" i="1"/>
  <c r="Q76" i="1"/>
  <c r="O76" i="1"/>
  <c r="Q75" i="1"/>
  <c r="O75" i="1"/>
  <c r="B73" i="1"/>
  <c r="W66" i="1"/>
  <c r="O66" i="1"/>
  <c r="Q66" i="1" s="1"/>
  <c r="W65" i="1"/>
  <c r="O65" i="1"/>
  <c r="Q65" i="1" s="1"/>
  <c r="W64" i="1"/>
  <c r="O64" i="1"/>
  <c r="O56" i="1"/>
  <c r="O55" i="1"/>
  <c r="O54" i="1"/>
  <c r="O53" i="1"/>
  <c r="O52" i="1"/>
  <c r="O51" i="1"/>
  <c r="O50" i="1"/>
  <c r="O49" i="1"/>
  <c r="O48" i="1"/>
  <c r="O47" i="1"/>
  <c r="E25" i="1"/>
  <c r="O12" i="1"/>
  <c r="O11" i="1"/>
  <c r="O10" i="1"/>
  <c r="B36" i="1"/>
  <c r="I99" i="1" l="1"/>
  <c r="I62" i="1"/>
  <c r="K25" i="1"/>
  <c r="Q70" i="1"/>
  <c r="S70" i="1" s="1"/>
  <c r="Q107" i="1"/>
  <c r="S107" i="1" s="1"/>
  <c r="O67" i="1"/>
  <c r="P102" i="1"/>
  <c r="O78" i="1"/>
  <c r="P103" i="1"/>
  <c r="O115" i="1"/>
  <c r="P101" i="1"/>
  <c r="Q104" i="1"/>
  <c r="O104" i="1"/>
  <c r="P64" i="1"/>
  <c r="P65" i="1"/>
  <c r="P66" i="1"/>
  <c r="Q64" i="1"/>
  <c r="Q67" i="1" s="1"/>
  <c r="N62" i="1" l="1"/>
  <c r="N99" i="1"/>
  <c r="I70" i="1"/>
  <c r="I107" i="1"/>
  <c r="P104" i="1"/>
  <c r="I106" i="1" s="1"/>
  <c r="P67" i="1"/>
  <c r="I69" i="1" s="1"/>
  <c r="I71" i="1" l="1"/>
  <c r="I108" i="1"/>
  <c r="P41" i="1"/>
  <c r="Q40" i="1"/>
  <c r="O40" i="1"/>
  <c r="Q39" i="1"/>
  <c r="O39" i="1"/>
  <c r="Q38" i="1"/>
  <c r="O38" i="1"/>
  <c r="W29" i="1"/>
  <c r="O29" i="1"/>
  <c r="Q29" i="1" s="1"/>
  <c r="W28" i="1"/>
  <c r="O28" i="1"/>
  <c r="Q28" i="1" s="1"/>
  <c r="W27" i="1"/>
  <c r="O27" i="1"/>
  <c r="O19" i="1"/>
  <c r="O18" i="1"/>
  <c r="O17" i="1"/>
  <c r="O16" i="1"/>
  <c r="O15" i="1"/>
  <c r="O14" i="1"/>
  <c r="O13" i="1"/>
  <c r="I25" i="1" l="1"/>
  <c r="Q33" i="1"/>
  <c r="S33" i="1" s="1"/>
  <c r="Q27" i="1"/>
  <c r="Q30" i="1" s="1"/>
  <c r="O41" i="1"/>
  <c r="O30" i="1"/>
  <c r="P27" i="1"/>
  <c r="P28" i="1"/>
  <c r="P29" i="1"/>
  <c r="N25" i="1" l="1"/>
  <c r="I33" i="1"/>
  <c r="P30" i="1"/>
  <c r="I32" i="1" s="1"/>
  <c r="I34" i="1" l="1"/>
  <c r="K5" i="1"/>
</calcChain>
</file>

<file path=xl/sharedStrings.xml><?xml version="1.0" encoding="utf-8"?>
<sst xmlns="http://schemas.openxmlformats.org/spreadsheetml/2006/main" count="912" uniqueCount="115">
  <si>
    <t>kW</t>
  </si>
  <si>
    <t>K</t>
  </si>
  <si>
    <t>L/h</t>
  </si>
  <si>
    <t>Wilo Yonos Para RS 15/6 RKC</t>
  </si>
  <si>
    <t>Grundfos UPM3 Auto L 15-70</t>
  </si>
  <si>
    <t>m</t>
  </si>
  <si>
    <t>Wilo Yonos Para RS 15/7,5 RKC</t>
  </si>
  <si>
    <t>Prevalenza Parte 1</t>
  </si>
  <si>
    <t>Prevalenza Parte 2</t>
  </si>
  <si>
    <t>Limite</t>
  </si>
  <si>
    <t>Parte della curva</t>
  </si>
  <si>
    <t>Curva n.</t>
  </si>
  <si>
    <t>Curva 2</t>
  </si>
  <si>
    <t>Rapporto Δy/Δx</t>
  </si>
  <si>
    <t>Scostamento y</t>
  </si>
  <si>
    <t>Kvs:</t>
  </si>
  <si>
    <t>Curva modulo:</t>
  </si>
  <si>
    <t>W/m2</t>
  </si>
  <si>
    <t>kW )</t>
  </si>
  <si>
    <t>Coeff. Per DN20</t>
  </si>
  <si>
    <t>4 K</t>
  </si>
  <si>
    <t>8K</t>
  </si>
  <si>
    <t>12 K</t>
  </si>
  <si>
    <t>A</t>
  </si>
  <si>
    <t>D</t>
  </si>
  <si>
    <t>G</t>
  </si>
  <si>
    <t>M2 MIX3</t>
  </si>
  <si>
    <t>M2 MIX33</t>
  </si>
  <si>
    <t>M2 FIX3</t>
  </si>
  <si>
    <t>M2 MIX3 G21 Energy - Qn 1,5</t>
  </si>
  <si>
    <t>M2 MIX3 G21 Energy - Qn 2,5</t>
  </si>
  <si>
    <t>M2 FIX3 G21 Energy - Qn 1,5</t>
  </si>
  <si>
    <t>M2 FIX3 G21 Energy - Qn 2,5</t>
  </si>
  <si>
    <t>M2</t>
  </si>
  <si>
    <t>M2 G21 Energy - Qn 1,5</t>
  </si>
  <si>
    <t>M2 G21 Energy - Qn 2,5</t>
  </si>
  <si>
    <t>RS 7,5</t>
  </si>
  <si>
    <t>UPM3</t>
  </si>
  <si>
    <t>RS 6</t>
  </si>
  <si>
    <t>Portata per prevalenza residua voluta</t>
  </si>
  <si>
    <t>ricavata per tentativi</t>
  </si>
  <si>
    <t>Potenza corrispondente alla prevalenza residua voluta</t>
  </si>
  <si>
    <t>ricavata considerando il Δt impostato</t>
  </si>
  <si>
    <t>Prevalenza</t>
  </si>
  <si>
    <t>voluta [m]</t>
  </si>
  <si>
    <t>minima residua</t>
  </si>
  <si>
    <t>Puissance nécessaire au collecteur (Max. 50 kW):</t>
  </si>
  <si>
    <t>(Dans le cas de fonctionnement des modules en simultanée)</t>
  </si>
  <si>
    <t>Débit nécessaire [l/h]:</t>
  </si>
  <si>
    <t>Puissance totale:</t>
  </si>
  <si>
    <t>Puissance d’un seul module:</t>
  </si>
  <si>
    <t>Modèle de circulateur:</t>
  </si>
  <si>
    <t>Hauteur d’élévation du circulateur au débit choisi:</t>
  </si>
  <si>
    <t>Pertes de charge du module au débit choisi:</t>
  </si>
  <si>
    <t>Hauteur d’élévation résiduelle pour le circuit:</t>
  </si>
  <si>
    <r>
      <t xml:space="preserve">Saute thermique Δt </t>
    </r>
    <r>
      <rPr>
        <sz val="10"/>
        <color theme="1"/>
        <rFont val="Arial Narrow"/>
        <family val="2"/>
      </rPr>
      <t>(calcul plancher chauffant si ≤ 12K)</t>
    </r>
    <r>
      <rPr>
        <sz val="11"/>
        <color theme="1"/>
        <rFont val="Calibri"/>
        <family val="2"/>
        <scheme val="minor"/>
      </rPr>
      <t>:</t>
    </r>
  </si>
  <si>
    <t>Classe d’isolation thermique du bâtiment:</t>
  </si>
  <si>
    <t>Module 1:</t>
  </si>
  <si>
    <t>Nombre de modules identiques:</t>
  </si>
  <si>
    <t>Module 2:</t>
  </si>
  <si>
    <t>Module 3:</t>
  </si>
  <si>
    <t>Note:</t>
  </si>
  <si>
    <t>( Max conseillé:</t>
  </si>
  <si>
    <t>Potenza necessaria al collettore (Max. 50 kW):</t>
  </si>
  <si>
    <t>(con l'ipotesi di funzionamento simultaneo dei gruppi)</t>
  </si>
  <si>
    <t>Modulo 1:</t>
  </si>
  <si>
    <t>Numero di moduli identici:</t>
  </si>
  <si>
    <r>
      <t xml:space="preserve">Salto termico Δt </t>
    </r>
    <r>
      <rPr>
        <sz val="10"/>
        <color theme="1"/>
        <rFont val="Arial Narrow"/>
        <family val="2"/>
      </rPr>
      <t>(calcolo sottopavimento se ≤ 12K)</t>
    </r>
    <r>
      <rPr>
        <sz val="11"/>
        <color theme="1"/>
        <rFont val="Calibri"/>
        <family val="2"/>
        <scheme val="minor"/>
      </rPr>
      <t>:</t>
    </r>
  </si>
  <si>
    <t>Portata richiesta [l/h]:</t>
  </si>
  <si>
    <t>Potenza totale:</t>
  </si>
  <si>
    <t>Potenza del singolo modulo:</t>
  </si>
  <si>
    <t>( Max. consigliato:</t>
  </si>
  <si>
    <t>Modello di circolatore:</t>
  </si>
  <si>
    <t>Prevalenza del circolatore alla portata scelta:</t>
  </si>
  <si>
    <t>Perdite di carico del modulo alla portata scelta:</t>
  </si>
  <si>
    <t>Prevalenza residua per il circuito:</t>
  </si>
  <si>
    <t>Classe d'isolamento dell'edificio:</t>
  </si>
  <si>
    <t>Modulo 2:</t>
  </si>
  <si>
    <t>Modulo 3:</t>
  </si>
  <si>
    <t>(if there is the simultaneous working of the the pump units)</t>
  </si>
  <si>
    <t>Pump unit no. 1:</t>
  </si>
  <si>
    <t>Pump unit no. 2:</t>
  </si>
  <si>
    <t>Pump unit no. 3:</t>
  </si>
  <si>
    <t>Number of identical pump units:</t>
  </si>
  <si>
    <t>Required flow [l/h]:</t>
  </si>
  <si>
    <t>Total power:</t>
  </si>
  <si>
    <t>Power of each pump unit:</t>
  </si>
  <si>
    <t>Type of circulating pump:</t>
  </si>
  <si>
    <t>( Max. recommended:</t>
  </si>
  <si>
    <t>Lifting power of the circ. pump at the selected flow:</t>
  </si>
  <si>
    <t>Head losses of the pump unit at the selected flow:</t>
  </si>
  <si>
    <t>Residual lifting power for the loop:</t>
  </si>
  <si>
    <t>Class of insulation of the building:</t>
  </si>
  <si>
    <t>Power to be supplied to the distributor (Max. 50 kW):</t>
  </si>
  <si>
    <r>
      <t xml:space="preserve">Rise in temperature Δt </t>
    </r>
    <r>
      <rPr>
        <sz val="10"/>
        <color theme="1"/>
        <rFont val="Arial Narrow"/>
        <family val="2"/>
      </rPr>
      <t>(underfloor calculation if ≤ 12K)</t>
    </r>
    <r>
      <rPr>
        <sz val="11"/>
        <color theme="1"/>
        <rFont val="Calibri"/>
        <family val="2"/>
        <scheme val="minor"/>
      </rPr>
      <t>:</t>
    </r>
  </si>
  <si>
    <t>MODULI IDRAULICI DN20 E COLLETTORI</t>
  </si>
  <si>
    <t>DN20 PUMP UNITS AND DISTRIBUTOR HEADERS</t>
  </si>
  <si>
    <t>MODULES HYDRAULIQUES DN20 ET COLLECTEURS</t>
  </si>
  <si>
    <t>DN20 HEIZ-KREIS-SET UND VERTEILER</t>
  </si>
  <si>
    <t>Erforderliche Leistung zum Kollektor (Max. 50 kW):</t>
  </si>
  <si>
    <t>(Hypothese der gleichzeitige Betrieb der Module)</t>
  </si>
  <si>
    <t>HKS 1:</t>
  </si>
  <si>
    <t>HKS 2:</t>
  </si>
  <si>
    <t>HKS 3:</t>
  </si>
  <si>
    <t>Anzahl von identischen Modulen:</t>
  </si>
  <si>
    <r>
      <t xml:space="preserve">Temperaturdifferenz Δt </t>
    </r>
    <r>
      <rPr>
        <sz val="10"/>
        <color theme="1"/>
        <rFont val="Arial Narrow"/>
        <family val="2"/>
      </rPr>
      <t>(FBH wenn ≤ 12K)</t>
    </r>
    <r>
      <rPr>
        <sz val="11"/>
        <color theme="1"/>
        <rFont val="Calibri"/>
        <family val="2"/>
        <scheme val="minor"/>
      </rPr>
      <t>:</t>
    </r>
  </si>
  <si>
    <t>Erforderlicher Durchfluss [l/h]:</t>
  </si>
  <si>
    <t>Leistung von einzelnem Modul:</t>
  </si>
  <si>
    <t>Gesamtleistung:</t>
  </si>
  <si>
    <t>( Max. empfohlen:</t>
  </si>
  <si>
    <t>Förderhöhe der Pumpe auf den gewünschten Duchfluss:</t>
  </si>
  <si>
    <t>Druckverluste des Moduls auf den gewünschten Durchfluss:</t>
  </si>
  <si>
    <t>Ausführung der Umwälzpumpe:</t>
  </si>
  <si>
    <t>Restförderhöhe für dien Heizkreis:</t>
  </si>
  <si>
    <t>Isolationsklasse Gebäude: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</si>
</sst>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00000_-;\-* #,##0.000000000_-;_-* &quot;-&quot;??_-;_-@_-"/>
    <numFmt numFmtId="167" formatCode="_-* #,##0.0000000000_-;\-* #,##0.000000000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color theme="1"/>
      <name val="Arial Narrow"/>
      <family val="2"/>
    </font>
    <font>
      <b/>
      <i/>
      <sz val="11"/>
      <color rgb="FFFF0000"/>
      <name val="Calibri"/>
      <family val="2"/>
      <scheme val="minor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i/>
      <sz val="9"/>
      <name val="Arial Narrow"/>
      <family val="2"/>
    </font>
    <font>
      <b/>
      <i/>
      <sz val="14"/>
      <color theme="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3" borderId="0" xfId="0" applyFill="1" applyAlignment="1">
      <alignment horizontal="center"/>
    </xf>
    <xf numFmtId="0" fontId="0" fillId="0" borderId="5" xfId="0" applyBorder="1"/>
    <xf numFmtId="164" fontId="0" fillId="3" borderId="0" xfId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0" xfId="0" applyFont="1"/>
    <xf numFmtId="0" fontId="0" fillId="0" borderId="0" xfId="0" applyAlignment="1">
      <alignment horizontal="left"/>
    </xf>
    <xf numFmtId="165" fontId="8" fillId="0" borderId="0" xfId="0" applyNumberFormat="1" applyFont="1" applyAlignment="1">
      <alignment horizontal="center"/>
    </xf>
    <xf numFmtId="0" fontId="0" fillId="3" borderId="0" xfId="0" applyFill="1" applyAlignment="1">
      <alignment horizontal="left"/>
    </xf>
    <xf numFmtId="0" fontId="9" fillId="0" borderId="0" xfId="0" applyFont="1"/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right"/>
    </xf>
    <xf numFmtId="0" fontId="6" fillId="3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165" fontId="1" fillId="0" borderId="0" xfId="0" applyNumberFormat="1" applyFont="1"/>
    <xf numFmtId="0" fontId="1" fillId="3" borderId="0" xfId="0" applyFont="1" applyFill="1" applyAlignment="1">
      <alignment horizontal="right"/>
    </xf>
    <xf numFmtId="0" fontId="7" fillId="3" borderId="0" xfId="0" applyFont="1" applyFill="1"/>
    <xf numFmtId="0" fontId="5" fillId="0" borderId="0" xfId="0" applyFont="1"/>
    <xf numFmtId="0" fontId="0" fillId="3" borderId="4" xfId="0" applyFill="1" applyBorder="1"/>
    <xf numFmtId="0" fontId="0" fillId="3" borderId="5" xfId="0" applyFill="1" applyBorder="1"/>
    <xf numFmtId="0" fontId="5" fillId="3" borderId="0" xfId="0" applyFont="1" applyFill="1"/>
    <xf numFmtId="0" fontId="2" fillId="3" borderId="0" xfId="0" applyFont="1" applyFill="1"/>
    <xf numFmtId="0" fontId="10" fillId="0" borderId="0" xfId="0" applyFont="1" applyAlignment="1">
      <alignment horizontal="right"/>
    </xf>
    <xf numFmtId="165" fontId="8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  <xf numFmtId="0" fontId="0" fillId="4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15" fillId="0" borderId="0" xfId="0" applyFont="1"/>
    <xf numFmtId="0" fontId="12" fillId="3" borderId="0" xfId="0" applyFont="1" applyFill="1"/>
    <xf numFmtId="0" fontId="5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5" fillId="3" borderId="0" xfId="0" applyFont="1" applyFill="1" applyAlignment="1">
      <alignment horizontal="left" vertical="center"/>
    </xf>
    <xf numFmtId="164" fontId="9" fillId="0" borderId="0" xfId="0" applyNumberFormat="1" applyFont="1"/>
    <xf numFmtId="1" fontId="11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65" fontId="13" fillId="0" borderId="0" xfId="0" applyNumberFormat="1" applyFont="1" applyAlignment="1">
      <alignment horizontal="center"/>
    </xf>
    <xf numFmtId="166" fontId="3" fillId="3" borderId="0" xfId="1" applyNumberFormat="1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167" fontId="3" fillId="3" borderId="0" xfId="1" applyNumberFormat="1" applyFont="1" applyFill="1" applyAlignment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18" fillId="0" borderId="0" xfId="0" applyFont="1" applyAlignment="1">
      <alignment horizontal="right"/>
    </xf>
    <xf numFmtId="0" fontId="7" fillId="0" borderId="0" xfId="0" applyFont="1" applyAlignment="1">
      <alignment horizontal="center" vertical="top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4" fillId="3" borderId="0" xfId="0" applyFont="1" applyFill="1" applyAlignment="1">
      <alignment horizontal="center"/>
    </xf>
    <xf numFmtId="0" fontId="12" fillId="2" borderId="0" xfId="0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40"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3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446424</xdr:colOff>
      <xdr:row>1</xdr:row>
      <xdr:rowOff>180975</xdr:rowOff>
    </xdr:from>
    <xdr:to>
      <xdr:col>10</xdr:col>
      <xdr:colOff>439402</xdr:colOff>
      <xdr:row>1</xdr:row>
      <xdr:rowOff>3962951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74" y="1143000"/>
          <a:ext cx="5412703" cy="3781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6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446424</xdr:colOff>
      <xdr:row>1</xdr:row>
      <xdr:rowOff>180975</xdr:rowOff>
    </xdr:from>
    <xdr:to>
      <xdr:col>10</xdr:col>
      <xdr:colOff>439402</xdr:colOff>
      <xdr:row>1</xdr:row>
      <xdr:rowOff>3962951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74" y="1143000"/>
          <a:ext cx="5412703" cy="3781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5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446424</xdr:colOff>
      <xdr:row>1</xdr:row>
      <xdr:rowOff>180975</xdr:rowOff>
    </xdr:from>
    <xdr:to>
      <xdr:col>10</xdr:col>
      <xdr:colOff>439402</xdr:colOff>
      <xdr:row>1</xdr:row>
      <xdr:rowOff>3962951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74" y="1143000"/>
          <a:ext cx="5412703" cy="3781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2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446424</xdr:colOff>
      <xdr:row>1</xdr:row>
      <xdr:rowOff>180975</xdr:rowOff>
    </xdr:from>
    <xdr:to>
      <xdr:col>10</xdr:col>
      <xdr:colOff>439402</xdr:colOff>
      <xdr:row>1</xdr:row>
      <xdr:rowOff>3962951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74" y="1143000"/>
          <a:ext cx="5412703" cy="3781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5"/>
  <sheetViews>
    <sheetView tabSelected="1" workbookViewId="0">
      <selection activeCell="G10" sqref="G10:J10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bestFit="1" customWidth="1"/>
    <col min="12" max="12" width="3.88671875" bestFit="1" customWidth="1"/>
    <col min="13" max="13" width="1.44140625" customWidth="1"/>
    <col min="14" max="14" width="34.5546875" style="2" hidden="1" customWidth="1"/>
    <col min="15" max="15" width="4" style="2" hidden="1" customWidth="1"/>
    <col min="16" max="16" width="11.33203125" style="9" hidden="1" customWidth="1"/>
    <col min="17" max="17" width="12.44140625" style="9" hidden="1" customWidth="1"/>
    <col min="18" max="21" width="11.33203125" style="9" hidden="1" customWidth="1"/>
    <col min="22" max="24" width="14.109375" style="9" hidden="1" customWidth="1"/>
  </cols>
  <sheetData>
    <row r="1" spans="1:24" ht="75.75" customHeight="1" x14ac:dyDescent="0.35">
      <c r="A1" s="3"/>
      <c r="B1" s="74" t="s">
        <v>95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6"/>
    </row>
    <row r="2" spans="1:24" ht="321.75" customHeight="1" x14ac:dyDescent="0.3">
      <c r="A2" s="1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20"/>
    </row>
    <row r="3" spans="1:24" ht="11.25" customHeight="1" x14ac:dyDescent="0.3"/>
    <row r="4" spans="1:24" ht="10.5" customHeight="1" x14ac:dyDescent="0.3">
      <c r="A4" s="3"/>
      <c r="B4" s="4"/>
      <c r="C4" s="4"/>
      <c r="D4" s="4"/>
      <c r="E4" s="4"/>
      <c r="F4" s="5"/>
      <c r="G4" s="4"/>
      <c r="H4" s="4"/>
      <c r="I4" s="5"/>
      <c r="J4" s="5"/>
      <c r="K4" s="4"/>
      <c r="L4" s="4"/>
      <c r="M4" s="6"/>
    </row>
    <row r="5" spans="1:24" x14ac:dyDescent="0.3">
      <c r="A5" s="7"/>
      <c r="B5" s="21" t="s">
        <v>63</v>
      </c>
      <c r="K5" s="30">
        <f>SUM(K8:K450)</f>
        <v>0</v>
      </c>
      <c r="L5" s="21" t="s">
        <v>0</v>
      </c>
      <c r="M5" s="10"/>
      <c r="R5" s="55" t="s">
        <v>43</v>
      </c>
      <c r="S5" s="72" t="s">
        <v>39</v>
      </c>
      <c r="T5" s="72"/>
      <c r="U5" s="72"/>
      <c r="V5" s="75" t="s">
        <v>41</v>
      </c>
      <c r="W5" s="75"/>
      <c r="X5" s="75"/>
    </row>
    <row r="6" spans="1:24" x14ac:dyDescent="0.3">
      <c r="A6" s="7"/>
      <c r="B6" t="s">
        <v>64</v>
      </c>
      <c r="M6" s="10"/>
      <c r="R6" s="55" t="s">
        <v>45</v>
      </c>
      <c r="S6" s="72" t="s">
        <v>40</v>
      </c>
      <c r="T6" s="72"/>
      <c r="U6" s="72"/>
      <c r="V6" s="75" t="s">
        <v>42</v>
      </c>
      <c r="W6" s="75"/>
      <c r="X6" s="75"/>
    </row>
    <row r="7" spans="1:24" ht="10.5" customHeight="1" x14ac:dyDescent="0.3">
      <c r="A7" s="17"/>
      <c r="B7" s="18"/>
      <c r="C7" s="18"/>
      <c r="D7" s="18"/>
      <c r="E7" s="18"/>
      <c r="F7" s="19"/>
      <c r="G7" s="18"/>
      <c r="H7" s="18"/>
      <c r="I7" s="19"/>
      <c r="J7" s="19"/>
      <c r="K7" s="18"/>
      <c r="L7" s="18"/>
      <c r="M7" s="20"/>
      <c r="R7" s="72" t="s">
        <v>44</v>
      </c>
      <c r="S7" s="73" t="s">
        <v>36</v>
      </c>
      <c r="T7" s="73" t="s">
        <v>37</v>
      </c>
      <c r="U7" s="73" t="s">
        <v>38</v>
      </c>
      <c r="V7" s="69" t="s">
        <v>36</v>
      </c>
      <c r="W7" s="69" t="s">
        <v>37</v>
      </c>
      <c r="X7" s="69" t="s">
        <v>38</v>
      </c>
    </row>
    <row r="8" spans="1:24" ht="11.25" customHeight="1" x14ac:dyDescent="0.3">
      <c r="R8" s="72"/>
      <c r="S8" s="73"/>
      <c r="T8" s="73"/>
      <c r="U8" s="73"/>
      <c r="V8" s="69"/>
      <c r="W8" s="69"/>
      <c r="X8" s="69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4"/>
      <c r="L9" s="4"/>
      <c r="M9" s="6"/>
      <c r="Q9" s="53"/>
      <c r="R9" s="44"/>
      <c r="S9" s="44"/>
      <c r="T9" s="44"/>
      <c r="U9" s="44"/>
    </row>
    <row r="10" spans="1:24" ht="15.6" x14ac:dyDescent="0.3">
      <c r="A10" s="7"/>
      <c r="B10" s="8" t="s">
        <v>65</v>
      </c>
      <c r="G10" s="70" t="s">
        <v>33</v>
      </c>
      <c r="H10" s="70"/>
      <c r="I10" s="70"/>
      <c r="J10" s="70"/>
      <c r="M10" s="10"/>
      <c r="N10" s="47" t="s">
        <v>33</v>
      </c>
      <c r="O10" s="2">
        <f>IF(G10=N10,1,0)</f>
        <v>1</v>
      </c>
      <c r="P10" s="9" t="s">
        <v>15</v>
      </c>
      <c r="Q10" s="41">
        <v>6</v>
      </c>
      <c r="R10" s="44">
        <v>4.0999999999999996</v>
      </c>
      <c r="S10" s="44">
        <v>2284</v>
      </c>
      <c r="T10" s="44">
        <v>1770</v>
      </c>
      <c r="U10" s="44">
        <v>1511</v>
      </c>
      <c r="V10" s="45">
        <f>S10*$G22/860</f>
        <v>53.116279069767444</v>
      </c>
      <c r="W10" s="45">
        <f>T10*$G22/860</f>
        <v>41.162790697674417</v>
      </c>
      <c r="X10" s="45">
        <f>U10*$G22/860</f>
        <v>35.139534883720927</v>
      </c>
    </row>
    <row r="11" spans="1:24" s="2" customFormat="1" ht="15.6" hidden="1" x14ac:dyDescent="0.3">
      <c r="A11" s="34"/>
      <c r="B11" s="37"/>
      <c r="F11" s="9"/>
      <c r="G11" s="9"/>
      <c r="I11" s="9"/>
      <c r="J11" s="9"/>
      <c r="M11" s="35"/>
      <c r="N11" s="47" t="s">
        <v>34</v>
      </c>
      <c r="O11" s="2">
        <f>IF(G10=N11,1,0)</f>
        <v>0</v>
      </c>
      <c r="P11" s="9" t="s">
        <v>15</v>
      </c>
      <c r="Q11" s="41">
        <v>2.7</v>
      </c>
      <c r="R11" s="44">
        <v>5</v>
      </c>
      <c r="S11" s="44">
        <v>1363</v>
      </c>
      <c r="T11" s="44">
        <v>1060</v>
      </c>
      <c r="U11" s="44">
        <v>885</v>
      </c>
      <c r="V11" s="45">
        <f>S11*$G22/860</f>
        <v>31.697674418604652</v>
      </c>
      <c r="W11" s="45">
        <f>T11*$G22/860</f>
        <v>24.651162790697676</v>
      </c>
      <c r="X11" s="45">
        <f>U11*$G22/860</f>
        <v>20.581395348837209</v>
      </c>
    </row>
    <row r="12" spans="1:24" s="2" customFormat="1" ht="15.6" hidden="1" x14ac:dyDescent="0.3">
      <c r="A12" s="34"/>
      <c r="B12" s="37"/>
      <c r="F12" s="9"/>
      <c r="G12" s="9"/>
      <c r="I12" s="9"/>
      <c r="J12" s="9"/>
      <c r="M12" s="35"/>
      <c r="N12" s="47" t="s">
        <v>35</v>
      </c>
      <c r="O12" s="2">
        <f>IF(G10=N12,1,0)</f>
        <v>0</v>
      </c>
      <c r="P12" s="9" t="s">
        <v>15</v>
      </c>
      <c r="Q12" s="41">
        <v>3.8</v>
      </c>
      <c r="R12" s="44">
        <v>5</v>
      </c>
      <c r="S12" s="44">
        <v>1673</v>
      </c>
      <c r="T12" s="44">
        <v>1261</v>
      </c>
      <c r="U12" s="44">
        <v>1039</v>
      </c>
      <c r="V12" s="45">
        <f>S12*$G22/860</f>
        <v>38.906976744186046</v>
      </c>
      <c r="W12" s="45">
        <f>T12*$G22/860</f>
        <v>29.325581395348838</v>
      </c>
      <c r="X12" s="45">
        <f>U12*$G22/860</f>
        <v>24.162790697674417</v>
      </c>
    </row>
    <row r="13" spans="1:24" s="2" customFormat="1" ht="15.6" hidden="1" x14ac:dyDescent="0.3">
      <c r="A13" s="34"/>
      <c r="B13" s="37"/>
      <c r="F13" s="9"/>
      <c r="G13" s="9"/>
      <c r="I13" s="9"/>
      <c r="J13" s="9"/>
      <c r="M13" s="35"/>
      <c r="N13" s="47" t="s">
        <v>26</v>
      </c>
      <c r="O13" s="2">
        <f>IF(G10=N13,1,0)</f>
        <v>0</v>
      </c>
      <c r="P13" s="9" t="s">
        <v>15</v>
      </c>
      <c r="Q13" s="41">
        <v>4</v>
      </c>
      <c r="R13" s="44">
        <v>4.5</v>
      </c>
      <c r="S13" s="44">
        <v>1826</v>
      </c>
      <c r="T13" s="44">
        <v>1416</v>
      </c>
      <c r="U13" s="44">
        <v>1199</v>
      </c>
      <c r="V13" s="45">
        <f>S13*$G22/860</f>
        <v>42.465116279069768</v>
      </c>
      <c r="W13" s="45">
        <f>T13*$G22/860</f>
        <v>32.930232558139537</v>
      </c>
      <c r="X13" s="45">
        <f>U13*$G22/860</f>
        <v>27.88372093023256</v>
      </c>
    </row>
    <row r="14" spans="1:24" s="2" customFormat="1" ht="15.6" hidden="1" x14ac:dyDescent="0.3">
      <c r="A14" s="34"/>
      <c r="B14" s="37"/>
      <c r="F14" s="9"/>
      <c r="G14" s="9"/>
      <c r="I14" s="9"/>
      <c r="J14" s="9"/>
      <c r="M14" s="35"/>
      <c r="N14" s="47" t="s">
        <v>27</v>
      </c>
      <c r="O14" s="2">
        <f>IF(G10=N14,1,0)</f>
        <v>0</v>
      </c>
      <c r="P14" s="9" t="s">
        <v>15</v>
      </c>
      <c r="Q14" s="41">
        <v>5.5</v>
      </c>
      <c r="R14" s="44">
        <v>4.5</v>
      </c>
      <c r="S14" s="44">
        <v>1950</v>
      </c>
      <c r="T14" s="44">
        <v>1601</v>
      </c>
      <c r="U14" s="44">
        <v>1343</v>
      </c>
      <c r="V14" s="45">
        <f>S14*$G22/860</f>
        <v>45.348837209302324</v>
      </c>
      <c r="W14" s="45">
        <f t="shared" ref="W14:X14" si="0">T14*$G22/860</f>
        <v>37.232558139534881</v>
      </c>
      <c r="X14" s="45">
        <f t="shared" si="0"/>
        <v>31.232558139534884</v>
      </c>
    </row>
    <row r="15" spans="1:24" s="2" customFormat="1" ht="15.6" hidden="1" x14ac:dyDescent="0.3">
      <c r="A15" s="34"/>
      <c r="B15" s="37"/>
      <c r="F15" s="9"/>
      <c r="G15" s="9"/>
      <c r="I15" s="9"/>
      <c r="J15" s="9"/>
      <c r="M15" s="35"/>
      <c r="N15" s="47" t="s">
        <v>28</v>
      </c>
      <c r="O15" s="2">
        <f>IF(G10=N15,1,0)</f>
        <v>0</v>
      </c>
      <c r="P15" s="9" t="s">
        <v>15</v>
      </c>
      <c r="Q15" s="41">
        <v>2</v>
      </c>
      <c r="R15" s="44">
        <v>5</v>
      </c>
      <c r="S15" s="44">
        <v>1010</v>
      </c>
      <c r="T15" s="44">
        <v>880</v>
      </c>
      <c r="U15" s="44">
        <v>714</v>
      </c>
      <c r="V15" s="45">
        <f>S15*$G22/860</f>
        <v>23.488372093023255</v>
      </c>
      <c r="W15" s="45">
        <f t="shared" ref="W15:X15" si="1">T15*$G22/860</f>
        <v>20.465116279069768</v>
      </c>
      <c r="X15" s="45">
        <f t="shared" si="1"/>
        <v>16.604651162790699</v>
      </c>
    </row>
    <row r="16" spans="1:24" s="2" customFormat="1" ht="15.6" hidden="1" x14ac:dyDescent="0.3">
      <c r="A16" s="34"/>
      <c r="B16" s="37"/>
      <c r="F16" s="9"/>
      <c r="G16" s="9"/>
      <c r="I16" s="9"/>
      <c r="J16" s="9"/>
      <c r="M16" s="35"/>
      <c r="N16" s="47" t="s">
        <v>29</v>
      </c>
      <c r="O16" s="2">
        <f>IF(G10=N16,1,0)</f>
        <v>0</v>
      </c>
      <c r="P16" s="9" t="s">
        <v>15</v>
      </c>
      <c r="Q16" s="41">
        <v>2.4</v>
      </c>
      <c r="R16" s="44">
        <v>5</v>
      </c>
      <c r="S16" s="44">
        <v>1212</v>
      </c>
      <c r="T16" s="44">
        <v>989</v>
      </c>
      <c r="U16" s="44">
        <v>829</v>
      </c>
      <c r="V16" s="45">
        <f>S16*$G22/860</f>
        <v>28.186046511627907</v>
      </c>
      <c r="W16" s="45">
        <f t="shared" ref="W16:X16" si="2">T16*$G22/860</f>
        <v>23</v>
      </c>
      <c r="X16" s="45">
        <f t="shared" si="2"/>
        <v>19.279069767441861</v>
      </c>
    </row>
    <row r="17" spans="1:24" s="2" customFormat="1" ht="15.6" hidden="1" x14ac:dyDescent="0.3">
      <c r="A17" s="34"/>
      <c r="B17" s="37"/>
      <c r="F17" s="9"/>
      <c r="G17" s="9"/>
      <c r="I17" s="9"/>
      <c r="J17" s="9"/>
      <c r="M17" s="35"/>
      <c r="N17" s="47" t="s">
        <v>30</v>
      </c>
      <c r="O17" s="2">
        <f>IF(G10=N17,1,0)</f>
        <v>0</v>
      </c>
      <c r="P17" s="9" t="s">
        <v>15</v>
      </c>
      <c r="Q17" s="41">
        <v>3.1</v>
      </c>
      <c r="R17" s="44">
        <v>5</v>
      </c>
      <c r="S17" s="44">
        <v>1497</v>
      </c>
      <c r="T17" s="44">
        <v>1143</v>
      </c>
      <c r="U17" s="44">
        <v>949</v>
      </c>
      <c r="V17" s="45">
        <f>S17*$G22/860</f>
        <v>34.813953488372093</v>
      </c>
      <c r="W17" s="45">
        <f t="shared" ref="W17:X17" si="3">T17*$G22/860</f>
        <v>26.581395348837209</v>
      </c>
      <c r="X17" s="45">
        <f t="shared" si="3"/>
        <v>22.069767441860463</v>
      </c>
    </row>
    <row r="18" spans="1:24" s="2" customFormat="1" ht="15.6" hidden="1" x14ac:dyDescent="0.3">
      <c r="A18" s="34"/>
      <c r="B18" s="37"/>
      <c r="F18" s="9"/>
      <c r="G18" s="9"/>
      <c r="I18" s="9"/>
      <c r="J18" s="9"/>
      <c r="M18" s="35"/>
      <c r="N18" s="47" t="s">
        <v>31</v>
      </c>
      <c r="O18" s="2">
        <f>IF(G10=N18,1,0)</f>
        <v>0</v>
      </c>
      <c r="P18" s="9" t="s">
        <v>15</v>
      </c>
      <c r="Q18" s="41">
        <v>1.7</v>
      </c>
      <c r="R18" s="44">
        <v>5</v>
      </c>
      <c r="S18" s="44">
        <v>858</v>
      </c>
      <c r="T18" s="44">
        <v>781</v>
      </c>
      <c r="U18" s="44">
        <v>607</v>
      </c>
      <c r="V18" s="45">
        <f>S18*$G22/860</f>
        <v>19.953488372093023</v>
      </c>
      <c r="W18" s="45">
        <f t="shared" ref="W18:X18" si="4">T18*$G22/860</f>
        <v>18.162790697674417</v>
      </c>
      <c r="X18" s="45">
        <f t="shared" si="4"/>
        <v>14.116279069767442</v>
      </c>
    </row>
    <row r="19" spans="1:24" s="2" customFormat="1" ht="15.6" hidden="1" x14ac:dyDescent="0.3">
      <c r="A19" s="34"/>
      <c r="B19" s="37"/>
      <c r="F19" s="9"/>
      <c r="G19" s="9"/>
      <c r="I19" s="9"/>
      <c r="J19" s="9"/>
      <c r="M19" s="35"/>
      <c r="N19" s="47" t="s">
        <v>32</v>
      </c>
      <c r="O19" s="2">
        <f>IF(G10=N19,1,0)</f>
        <v>0</v>
      </c>
      <c r="P19" s="9" t="s">
        <v>15</v>
      </c>
      <c r="Q19" s="41">
        <v>1.9</v>
      </c>
      <c r="R19" s="44">
        <v>5</v>
      </c>
      <c r="S19" s="44">
        <v>1000</v>
      </c>
      <c r="T19" s="44">
        <v>850</v>
      </c>
      <c r="U19" s="44">
        <v>678</v>
      </c>
      <c r="V19" s="45">
        <f>S19*$G22/860</f>
        <v>23.255813953488371</v>
      </c>
      <c r="W19" s="45">
        <f t="shared" ref="W19:X19" si="5">T19*$G22/860</f>
        <v>19.767441860465116</v>
      </c>
      <c r="X19" s="45">
        <f t="shared" si="5"/>
        <v>15.767441860465116</v>
      </c>
    </row>
    <row r="20" spans="1:24" ht="8.25" customHeight="1" x14ac:dyDescent="0.35">
      <c r="A20" s="7"/>
      <c r="F20" s="33"/>
      <c r="G20" s="33"/>
      <c r="H20" s="33"/>
      <c r="I20" s="33"/>
      <c r="J20" s="33"/>
      <c r="M20" s="10"/>
      <c r="N20" s="48"/>
    </row>
    <row r="21" spans="1:24" x14ac:dyDescent="0.3">
      <c r="A21" s="7"/>
      <c r="B21" t="s">
        <v>66</v>
      </c>
      <c r="G21" s="61">
        <v>0</v>
      </c>
      <c r="H21" s="71" t="str">
        <f>IF(G21+G58+G95&gt;3,"Numero massimo di moduli totali = 3","")</f>
        <v/>
      </c>
      <c r="I21" s="71"/>
      <c r="J21" s="71"/>
      <c r="K21" s="71"/>
      <c r="L21" s="71"/>
      <c r="M21" s="10"/>
      <c r="O21" s="2">
        <v>0</v>
      </c>
    </row>
    <row r="22" spans="1:24" x14ac:dyDescent="0.3">
      <c r="A22" s="7"/>
      <c r="B22" t="s">
        <v>67</v>
      </c>
      <c r="G22" s="61">
        <v>20</v>
      </c>
      <c r="H22" t="s">
        <v>1</v>
      </c>
      <c r="M22" s="10"/>
      <c r="N22" s="49"/>
      <c r="O22" s="2">
        <v>1</v>
      </c>
    </row>
    <row r="23" spans="1:24" ht="15.6" x14ac:dyDescent="0.3">
      <c r="A23" s="7"/>
      <c r="B23" t="s">
        <v>68</v>
      </c>
      <c r="G23" s="61">
        <v>1000</v>
      </c>
      <c r="H23" s="22" t="s">
        <v>2</v>
      </c>
      <c r="I23" s="8"/>
      <c r="J23" s="8"/>
      <c r="K23" s="51"/>
      <c r="L23" s="25"/>
      <c r="M23" s="10"/>
      <c r="N23" s="49"/>
      <c r="O23" s="2">
        <v>2</v>
      </c>
      <c r="P23" s="54"/>
      <c r="Q23" s="11"/>
      <c r="R23" s="11"/>
      <c r="S23" s="11"/>
      <c r="T23" s="11"/>
      <c r="U23" s="11"/>
      <c r="V23" s="11"/>
      <c r="W23" s="11"/>
      <c r="X23" s="11"/>
    </row>
    <row r="24" spans="1:24" x14ac:dyDescent="0.3">
      <c r="A24" s="7"/>
      <c r="L24" s="12" t="s">
        <v>69</v>
      </c>
      <c r="M24" s="10"/>
      <c r="N24" s="49"/>
      <c r="O24" s="2">
        <v>3</v>
      </c>
    </row>
    <row r="25" spans="1:24" ht="15.6" x14ac:dyDescent="0.3">
      <c r="A25" s="7"/>
      <c r="B25" s="13" t="s">
        <v>70</v>
      </c>
      <c r="E25" s="30" t="str">
        <f>IF(G21=0,"- -",G23*G22/860)</f>
        <v>- -</v>
      </c>
      <c r="F25" s="21" t="s">
        <v>0</v>
      </c>
      <c r="H25" s="58" t="s">
        <v>71</v>
      </c>
      <c r="I25" s="56" t="str">
        <f>IF(G21=0,"- -",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)</f>
        <v>- -</v>
      </c>
      <c r="J25" s="59" t="s">
        <v>18</v>
      </c>
      <c r="K25" s="30" t="str">
        <f>IF(G21=0,"- -",G21*E25)</f>
        <v>- -</v>
      </c>
      <c r="L25" s="21" t="s">
        <v>0</v>
      </c>
      <c r="M25" s="10"/>
      <c r="N25" s="57" t="e">
        <f>E25/I25-1</f>
        <v>#VALUE!</v>
      </c>
      <c r="P25" s="28"/>
      <c r="Q25" s="24"/>
      <c r="S25" s="54" t="s">
        <v>13</v>
      </c>
      <c r="T25" s="54" t="s">
        <v>14</v>
      </c>
      <c r="U25" s="54"/>
    </row>
    <row r="26" spans="1:24" x14ac:dyDescent="0.3">
      <c r="A26" s="7"/>
      <c r="M26" s="10"/>
      <c r="P26" s="54" t="s">
        <v>11</v>
      </c>
      <c r="Q26" s="54" t="s">
        <v>10</v>
      </c>
      <c r="R26" s="54" t="s">
        <v>9</v>
      </c>
      <c r="S26" s="54" t="s">
        <v>12</v>
      </c>
      <c r="T26" s="54" t="s">
        <v>12</v>
      </c>
      <c r="U26" s="54"/>
      <c r="V26" s="54" t="s">
        <v>7</v>
      </c>
      <c r="W26" s="54" t="s">
        <v>8</v>
      </c>
      <c r="X26" s="54"/>
    </row>
    <row r="27" spans="1:24" x14ac:dyDescent="0.3">
      <c r="A27" s="7"/>
      <c r="B27" t="s">
        <v>72</v>
      </c>
      <c r="G27" s="68" t="s">
        <v>3</v>
      </c>
      <c r="H27" s="68"/>
      <c r="I27" s="68"/>
      <c r="J27" s="68"/>
      <c r="M27" s="10"/>
      <c r="N27" s="2" t="s">
        <v>6</v>
      </c>
      <c r="O27" s="2">
        <f>IF(N27=G27,1,0)</f>
        <v>0</v>
      </c>
      <c r="P27" s="9" t="str">
        <f>IF(O27=1,1,"")</f>
        <v/>
      </c>
      <c r="Q27" s="9" t="str">
        <f>IF(O27=1,IF(G23&gt;=R27,2,1),"")</f>
        <v/>
      </c>
      <c r="R27" s="53">
        <v>1400</v>
      </c>
      <c r="S27" s="53">
        <v>-2.2857099999999998E-3</v>
      </c>
      <c r="T27" s="53">
        <v>10.8</v>
      </c>
      <c r="V27" s="53">
        <v>7.6</v>
      </c>
      <c r="W27" s="9">
        <f>G23*S27+T27</f>
        <v>8.5142900000000008</v>
      </c>
    </row>
    <row r="28" spans="1:24" s="2" customFormat="1" hidden="1" x14ac:dyDescent="0.3">
      <c r="A28" s="34"/>
      <c r="F28" s="9"/>
      <c r="G28" s="9"/>
      <c r="I28" s="9"/>
      <c r="J28" s="9"/>
      <c r="M28" s="35"/>
      <c r="N28" s="2" t="s">
        <v>4</v>
      </c>
      <c r="O28" s="2">
        <f>IF(N28=G27,1,0)</f>
        <v>0</v>
      </c>
      <c r="P28" s="9" t="str">
        <f>IF(O28=1,2,"")</f>
        <v/>
      </c>
      <c r="Q28" s="9" t="str">
        <f>IF(O28=1,IF(G23&gt;=R28,2,1),"")</f>
        <v/>
      </c>
      <c r="R28" s="53">
        <v>800</v>
      </c>
      <c r="S28" s="53">
        <v>-2.23077E-3</v>
      </c>
      <c r="T28" s="53">
        <v>8.9350000000000005</v>
      </c>
      <c r="U28" s="9"/>
      <c r="V28" s="53">
        <v>7.15</v>
      </c>
      <c r="W28" s="9">
        <f>G23*S28+T28</f>
        <v>6.7042300000000008</v>
      </c>
      <c r="X28" s="9"/>
    </row>
    <row r="29" spans="1:24" s="2" customFormat="1" hidden="1" x14ac:dyDescent="0.3">
      <c r="A29" s="34"/>
      <c r="F29" s="9"/>
      <c r="G29" s="9"/>
      <c r="I29" s="9"/>
      <c r="J29" s="9"/>
      <c r="M29" s="35"/>
      <c r="N29" s="2" t="s">
        <v>3</v>
      </c>
      <c r="O29" s="2">
        <f>IF(N29=G27,1,0)</f>
        <v>1</v>
      </c>
      <c r="P29" s="9">
        <f>IF(O29=1,3,"")</f>
        <v>3</v>
      </c>
      <c r="Q29" s="9">
        <f>IF(O29=1,IF(G23&gt;=R29,2,1),"")</f>
        <v>2</v>
      </c>
      <c r="R29" s="53">
        <v>800</v>
      </c>
      <c r="S29" s="53">
        <v>-2.1538400000000002E-3</v>
      </c>
      <c r="T29" s="53">
        <v>8</v>
      </c>
      <c r="U29" s="9"/>
      <c r="V29" s="53">
        <v>6.3</v>
      </c>
      <c r="W29" s="9">
        <f>G23*S29+T29</f>
        <v>5.8461599999999994</v>
      </c>
      <c r="X29" s="9"/>
    </row>
    <row r="30" spans="1:24" s="2" customFormat="1" ht="18" hidden="1" x14ac:dyDescent="0.35">
      <c r="A30" s="34"/>
      <c r="F30" s="36"/>
      <c r="G30" s="36"/>
      <c r="H30" s="36"/>
      <c r="I30" s="36"/>
      <c r="J30" s="36"/>
      <c r="M30" s="35"/>
      <c r="N30" s="48"/>
      <c r="O30" s="2">
        <f>SUM(O27:O29)</f>
        <v>1</v>
      </c>
      <c r="P30" s="9">
        <f>SUM(P27:P29)</f>
        <v>3</v>
      </c>
      <c r="Q30" s="9">
        <f>SUM(Q27:Q29)</f>
        <v>2</v>
      </c>
      <c r="R30" s="9"/>
      <c r="S30" s="9"/>
      <c r="T30" s="9"/>
      <c r="U30" s="9"/>
      <c r="V30" s="9"/>
      <c r="W30" s="9"/>
      <c r="X30" s="9"/>
    </row>
    <row r="31" spans="1:24" ht="8.25" customHeight="1" x14ac:dyDescent="0.3">
      <c r="A31" s="7"/>
      <c r="M31" s="10"/>
    </row>
    <row r="32" spans="1:24" x14ac:dyDescent="0.3">
      <c r="A32" s="7"/>
      <c r="H32" s="14" t="s">
        <v>73</v>
      </c>
      <c r="I32" s="26" t="str">
        <f>IF(G21=0,"- -",IF(O30=1,IF(AND(P30=1,Q30=1),V27,IF(AND(P30=1,Q30=2),W27,IF(AND(P30=2,Q30=1),V28,IF(AND(P30=2,Q30=2),W28,IF(AND(P30=3,Q30=1),V29,IF(AND(P30=3,Q30=2),W29,"Errore")))))),"- -"))</f>
        <v>- -</v>
      </c>
      <c r="J32" t="s">
        <v>5</v>
      </c>
      <c r="M32" s="10"/>
    </row>
    <row r="33" spans="1:24" x14ac:dyDescent="0.3">
      <c r="A33" s="7"/>
      <c r="H33" s="14" t="s">
        <v>74</v>
      </c>
      <c r="I33" s="26" t="str">
        <f>IF(G21=0,"- -",IF(O30=1,IF(S33&lt;0.2,0.2,S33),"- -"))</f>
        <v>- -</v>
      </c>
      <c r="J33" t="s">
        <v>5</v>
      </c>
      <c r="M33" s="10"/>
      <c r="P33" s="9" t="s">
        <v>15</v>
      </c>
      <c r="Q33" s="24">
        <f>IF(O10=1,Q10,IF(O11=1,Q11,IF(O12=1,Q12,IF(O13=1,Q13,IF(O14=1,Q14,IF(O15=1,Q15,IF(O16=1,Q16,IF(O17=1,Q17,IF(O17=1,Q17,IF(O18=1,Q18,IF(O19=1,Q19,"Errore!")))))))))))</f>
        <v>6</v>
      </c>
      <c r="R33" s="28" t="s">
        <v>16</v>
      </c>
      <c r="S33" s="9">
        <f>(G23/1000/Q33)^2*10.198</f>
        <v>0.28327777777777779</v>
      </c>
    </row>
    <row r="34" spans="1:24" ht="15.6" x14ac:dyDescent="0.3">
      <c r="A34" s="7"/>
      <c r="H34" s="15" t="s">
        <v>75</v>
      </c>
      <c r="I34" s="23" t="str">
        <f>IF(G21=0,"- -",IF(O30=1,I32-I33,"- -"))</f>
        <v>- -</v>
      </c>
      <c r="J34" s="16" t="s">
        <v>5</v>
      </c>
      <c r="K34" s="46"/>
      <c r="M34" s="10"/>
      <c r="N34" s="32"/>
    </row>
    <row r="35" spans="1:24" ht="9" customHeight="1" x14ac:dyDescent="0.3">
      <c r="A35" s="7"/>
      <c r="H35" s="15"/>
      <c r="I35" s="23"/>
      <c r="J35" s="16"/>
      <c r="M35" s="10"/>
      <c r="N35" s="32"/>
    </row>
    <row r="36" spans="1:24" ht="15.6" x14ac:dyDescent="0.3">
      <c r="A36" s="7"/>
      <c r="B36" s="13" t="str">
        <f>IF(G22&lt;=12,"Calcolo sottopavimento:","Calcolo sottopavimento non disponibile se Δt &gt; 12 K")</f>
        <v>Calcolo sottopavimento non disponibile se Δt &gt; 12 K</v>
      </c>
      <c r="H36" s="15"/>
      <c r="I36" s="23"/>
      <c r="J36" s="16"/>
      <c r="M36" s="10"/>
      <c r="N36" s="32"/>
      <c r="S36" s="54" t="s">
        <v>19</v>
      </c>
    </row>
    <row r="37" spans="1:24" ht="9" customHeight="1" x14ac:dyDescent="0.3">
      <c r="A37" s="7"/>
      <c r="H37" s="15"/>
      <c r="I37" s="23"/>
      <c r="J37" s="16"/>
      <c r="M37" s="10"/>
      <c r="N37" s="32"/>
    </row>
    <row r="38" spans="1:24" x14ac:dyDescent="0.3">
      <c r="A38" s="7"/>
      <c r="B38" t="s">
        <v>76</v>
      </c>
      <c r="F38" s="14"/>
      <c r="G38" s="62" t="s">
        <v>24</v>
      </c>
      <c r="I38" s="38" t="str">
        <f>IF(G22&gt;12,"","Utilizzare Δt=")</f>
        <v/>
      </c>
      <c r="J38" s="16" t="str">
        <f>IF(G22&gt;12,"",IF(G38=N38,P38,IF(G38=N39,P39,IF(G38=N40,P40,""))))</f>
        <v/>
      </c>
      <c r="M38" s="10"/>
      <c r="N38" s="24" t="s">
        <v>23</v>
      </c>
      <c r="O38" s="2">
        <f>IF(N38=G38,1,0)</f>
        <v>0</v>
      </c>
      <c r="P38" s="9" t="s">
        <v>20</v>
      </c>
      <c r="Q38" s="31">
        <f>T38*S38</f>
        <v>34.375</v>
      </c>
      <c r="R38" s="24" t="s">
        <v>17</v>
      </c>
      <c r="S38" s="53">
        <v>1.375</v>
      </c>
      <c r="T38" s="42">
        <v>25</v>
      </c>
      <c r="U38" s="27"/>
      <c r="V38" s="24" t="s">
        <v>17</v>
      </c>
    </row>
    <row r="39" spans="1:24" s="2" customFormat="1" ht="15.6" hidden="1" x14ac:dyDescent="0.3">
      <c r="A39" s="34"/>
      <c r="F39" s="27"/>
      <c r="G39" s="39"/>
      <c r="H39" s="40"/>
      <c r="I39" s="39"/>
      <c r="J39" s="32"/>
      <c r="M39" s="35"/>
      <c r="N39" s="24" t="s">
        <v>24</v>
      </c>
      <c r="O39" s="2">
        <f>IF(N39=G38,1,0)</f>
        <v>1</v>
      </c>
      <c r="P39" s="9" t="s">
        <v>21</v>
      </c>
      <c r="Q39" s="31">
        <f>T39*S39</f>
        <v>110</v>
      </c>
      <c r="R39" s="24" t="s">
        <v>17</v>
      </c>
      <c r="S39" s="53">
        <v>1.375</v>
      </c>
      <c r="T39" s="43">
        <v>80</v>
      </c>
      <c r="U39" s="31"/>
      <c r="V39" s="24" t="s">
        <v>17</v>
      </c>
      <c r="W39" s="9"/>
      <c r="X39" s="9"/>
    </row>
    <row r="40" spans="1:24" s="2" customFormat="1" ht="15.6" hidden="1" x14ac:dyDescent="0.3">
      <c r="A40" s="34"/>
      <c r="F40" s="27"/>
      <c r="G40" s="39"/>
      <c r="H40" s="40"/>
      <c r="I40" s="39"/>
      <c r="J40" s="32"/>
      <c r="M40" s="35"/>
      <c r="N40" s="24" t="s">
        <v>25</v>
      </c>
      <c r="O40" s="2">
        <f>IF(N40=G38,1,0)</f>
        <v>0</v>
      </c>
      <c r="P40" s="9" t="s">
        <v>22</v>
      </c>
      <c r="Q40" s="31">
        <f>T40*S40</f>
        <v>192.5</v>
      </c>
      <c r="R40" s="24" t="s">
        <v>17</v>
      </c>
      <c r="S40" s="53">
        <v>1.375</v>
      </c>
      <c r="T40" s="42">
        <v>140</v>
      </c>
      <c r="U40" s="27"/>
      <c r="V40" s="24" t="s">
        <v>17</v>
      </c>
      <c r="W40" s="9"/>
      <c r="X40" s="9"/>
    </row>
    <row r="41" spans="1:24" s="2" customFormat="1" ht="18" hidden="1" x14ac:dyDescent="0.35">
      <c r="A41" s="34"/>
      <c r="F41" s="36"/>
      <c r="G41" s="36"/>
      <c r="H41" s="36"/>
      <c r="I41" s="36"/>
      <c r="J41" s="36"/>
      <c r="M41" s="35"/>
      <c r="N41" s="48"/>
      <c r="O41" s="2">
        <f>SUM(O38:O40)</f>
        <v>1</v>
      </c>
      <c r="P41" s="9">
        <f>SUM(P38:P40)</f>
        <v>0</v>
      </c>
      <c r="Q41" s="27"/>
      <c r="R41" s="9"/>
      <c r="S41" s="9"/>
      <c r="T41" s="9"/>
      <c r="U41" s="9"/>
      <c r="V41" s="9"/>
      <c r="W41" s="9"/>
      <c r="X41" s="9"/>
    </row>
    <row r="42" spans="1:24" ht="9" customHeight="1" x14ac:dyDescent="0.3">
      <c r="A42" s="7"/>
      <c r="H42" s="15"/>
      <c r="I42" s="23"/>
      <c r="J42" s="16"/>
      <c r="M42" s="10"/>
      <c r="N42" s="32"/>
    </row>
    <row r="43" spans="1:24" ht="44.25" customHeight="1" x14ac:dyDescent="0.3">
      <c r="A43" s="7"/>
      <c r="B43" s="65" t="str">
        <f>IF(G22&gt;12,"","Superficie massima dell'impianto sottopavimento gestibile da ciascun modulo, con un salto termico proporzionato alla classe d'isolamento termico selezionata:")</f>
        <v/>
      </c>
      <c r="C43" s="65"/>
      <c r="D43" s="65"/>
      <c r="E43" s="65"/>
      <c r="F43" s="65"/>
      <c r="G43" s="65"/>
      <c r="H43" s="65"/>
      <c r="I43" s="52" t="str">
        <f>IF(G22&gt;12,"",IF(G21=0,"- -",IF(G22&lt;=12,IF(O38=1,E25*1000/Q38,IF(O39=1,E25*1000/Q39,IF(O40=1,E25*1000/Q40,"- -"))),"- - ")))</f>
        <v/>
      </c>
      <c r="J43" s="29" t="str">
        <f>IF(G22&gt;12,"","m2")</f>
        <v/>
      </c>
      <c r="M43" s="10"/>
      <c r="N43" s="50"/>
      <c r="Q43" s="27"/>
    </row>
    <row r="44" spans="1:24" ht="10.5" customHeight="1" x14ac:dyDescent="0.3">
      <c r="A44" s="17"/>
      <c r="B44" s="18"/>
      <c r="C44" s="18"/>
      <c r="D44" s="18"/>
      <c r="E44" s="18"/>
      <c r="F44" s="19"/>
      <c r="G44" s="18"/>
      <c r="H44" s="18"/>
      <c r="I44" s="19"/>
      <c r="J44" s="19"/>
      <c r="K44" s="18"/>
      <c r="L44" s="18"/>
      <c r="M44" s="20"/>
    </row>
    <row r="45" spans="1:24" ht="18.75" customHeight="1" x14ac:dyDescent="0.3"/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4"/>
      <c r="L46" s="4"/>
      <c r="M46" s="6"/>
      <c r="Q46" s="53"/>
      <c r="R46" s="44"/>
      <c r="S46" s="44"/>
      <c r="T46" s="44"/>
      <c r="U46" s="44"/>
    </row>
    <row r="47" spans="1:24" ht="15.6" x14ac:dyDescent="0.3">
      <c r="A47" s="7"/>
      <c r="B47" s="8" t="s">
        <v>77</v>
      </c>
      <c r="G47" s="70" t="s">
        <v>33</v>
      </c>
      <c r="H47" s="70"/>
      <c r="I47" s="70"/>
      <c r="J47" s="70"/>
      <c r="M47" s="10"/>
      <c r="N47" s="47" t="s">
        <v>33</v>
      </c>
      <c r="O47" s="2">
        <f>IF(G47=N47,1,0)</f>
        <v>1</v>
      </c>
      <c r="P47" s="9" t="s">
        <v>15</v>
      </c>
      <c r="Q47" s="41">
        <v>6</v>
      </c>
      <c r="R47" s="44">
        <v>4.0999999999999996</v>
      </c>
      <c r="S47" s="44">
        <v>2284</v>
      </c>
      <c r="T47" s="44">
        <v>1770</v>
      </c>
      <c r="U47" s="44">
        <v>1511</v>
      </c>
      <c r="V47" s="45">
        <f>S47*$G59/860</f>
        <v>53.116279069767444</v>
      </c>
      <c r="W47" s="45">
        <f>T47*$G59/860</f>
        <v>41.162790697674417</v>
      </c>
      <c r="X47" s="45">
        <f>U47*$G59/860</f>
        <v>35.139534883720927</v>
      </c>
    </row>
    <row r="48" spans="1:24" s="2" customFormat="1" ht="15.6" hidden="1" x14ac:dyDescent="0.3">
      <c r="A48" s="34"/>
      <c r="B48" s="37"/>
      <c r="F48" s="9"/>
      <c r="G48" s="9"/>
      <c r="I48" s="9"/>
      <c r="J48" s="9"/>
      <c r="M48" s="35"/>
      <c r="N48" s="47" t="s">
        <v>34</v>
      </c>
      <c r="O48" s="2">
        <f>IF(G47=N48,1,0)</f>
        <v>0</v>
      </c>
      <c r="P48" s="9" t="s">
        <v>15</v>
      </c>
      <c r="Q48" s="41">
        <v>2.7</v>
      </c>
      <c r="R48" s="44">
        <v>5</v>
      </c>
      <c r="S48" s="44">
        <v>1363</v>
      </c>
      <c r="T48" s="44">
        <v>1060</v>
      </c>
      <c r="U48" s="44">
        <v>885</v>
      </c>
      <c r="V48" s="45">
        <f>S48*$G59/860</f>
        <v>31.697674418604652</v>
      </c>
      <c r="W48" s="45">
        <f>T48*$G59/860</f>
        <v>24.651162790697676</v>
      </c>
      <c r="X48" s="45">
        <f>U48*$G59/860</f>
        <v>20.581395348837209</v>
      </c>
    </row>
    <row r="49" spans="1:24" s="2" customFormat="1" ht="15.6" hidden="1" x14ac:dyDescent="0.3">
      <c r="A49" s="34"/>
      <c r="B49" s="37"/>
      <c r="F49" s="9"/>
      <c r="G49" s="9"/>
      <c r="I49" s="9"/>
      <c r="J49" s="9"/>
      <c r="M49" s="35"/>
      <c r="N49" s="47" t="s">
        <v>35</v>
      </c>
      <c r="O49" s="2">
        <f>IF(G47=N49,1,0)</f>
        <v>0</v>
      </c>
      <c r="P49" s="9" t="s">
        <v>15</v>
      </c>
      <c r="Q49" s="41">
        <v>3.8</v>
      </c>
      <c r="R49" s="44">
        <v>5</v>
      </c>
      <c r="S49" s="44">
        <v>1673</v>
      </c>
      <c r="T49" s="44">
        <v>1261</v>
      </c>
      <c r="U49" s="44">
        <v>1039</v>
      </c>
      <c r="V49" s="45">
        <f>S49*$G59/860</f>
        <v>38.906976744186046</v>
      </c>
      <c r="W49" s="45">
        <f>T49*$G59/860</f>
        <v>29.325581395348838</v>
      </c>
      <c r="X49" s="45">
        <f>U49*$G59/860</f>
        <v>24.162790697674417</v>
      </c>
    </row>
    <row r="50" spans="1:24" s="2" customFormat="1" ht="15.6" hidden="1" x14ac:dyDescent="0.3">
      <c r="A50" s="34"/>
      <c r="B50" s="37"/>
      <c r="F50" s="9"/>
      <c r="G50" s="9"/>
      <c r="I50" s="9"/>
      <c r="J50" s="9"/>
      <c r="M50" s="35"/>
      <c r="N50" s="47" t="s">
        <v>26</v>
      </c>
      <c r="O50" s="2">
        <f>IF(G47=N50,1,0)</f>
        <v>0</v>
      </c>
      <c r="P50" s="9" t="s">
        <v>15</v>
      </c>
      <c r="Q50" s="41">
        <v>4</v>
      </c>
      <c r="R50" s="44">
        <v>4.5</v>
      </c>
      <c r="S50" s="44">
        <v>1826</v>
      </c>
      <c r="T50" s="44">
        <v>1416</v>
      </c>
      <c r="U50" s="44">
        <v>1199</v>
      </c>
      <c r="V50" s="45">
        <f>S50*$G59/860</f>
        <v>42.465116279069768</v>
      </c>
      <c r="W50" s="45">
        <f>T50*$G59/860</f>
        <v>32.930232558139537</v>
      </c>
      <c r="X50" s="45">
        <f>U50*$G59/860</f>
        <v>27.88372093023256</v>
      </c>
    </row>
    <row r="51" spans="1:24" s="2" customFormat="1" ht="15.6" hidden="1" x14ac:dyDescent="0.3">
      <c r="A51" s="34"/>
      <c r="B51" s="37"/>
      <c r="F51" s="9"/>
      <c r="G51" s="9"/>
      <c r="I51" s="9"/>
      <c r="J51" s="9"/>
      <c r="M51" s="35"/>
      <c r="N51" s="47" t="s">
        <v>27</v>
      </c>
      <c r="O51" s="2">
        <f>IF(G47=N51,1,0)</f>
        <v>0</v>
      </c>
      <c r="P51" s="9" t="s">
        <v>15</v>
      </c>
      <c r="Q51" s="41">
        <v>5.5</v>
      </c>
      <c r="R51" s="44">
        <v>4.5</v>
      </c>
      <c r="S51" s="44">
        <v>1950</v>
      </c>
      <c r="T51" s="44">
        <v>1601</v>
      </c>
      <c r="U51" s="44">
        <v>1343</v>
      </c>
      <c r="V51" s="45">
        <f>S51*$G59/860</f>
        <v>45.348837209302324</v>
      </c>
      <c r="W51" s="45">
        <f t="shared" ref="W51:X51" si="6">T51*$G59/860</f>
        <v>37.232558139534881</v>
      </c>
      <c r="X51" s="45">
        <f t="shared" si="6"/>
        <v>31.232558139534884</v>
      </c>
    </row>
    <row r="52" spans="1:24" s="2" customFormat="1" ht="15.6" hidden="1" x14ac:dyDescent="0.3">
      <c r="A52" s="34"/>
      <c r="B52" s="37"/>
      <c r="F52" s="9"/>
      <c r="G52" s="9"/>
      <c r="I52" s="9"/>
      <c r="J52" s="9"/>
      <c r="M52" s="35"/>
      <c r="N52" s="47" t="s">
        <v>28</v>
      </c>
      <c r="O52" s="2">
        <f>IF(G47=N52,1,0)</f>
        <v>0</v>
      </c>
      <c r="P52" s="9" t="s">
        <v>15</v>
      </c>
      <c r="Q52" s="41">
        <v>2</v>
      </c>
      <c r="R52" s="44">
        <v>5</v>
      </c>
      <c r="S52" s="44">
        <v>1010</v>
      </c>
      <c r="T52" s="44">
        <v>880</v>
      </c>
      <c r="U52" s="44">
        <v>714</v>
      </c>
      <c r="V52" s="45">
        <f>S52*$G59/860</f>
        <v>23.488372093023255</v>
      </c>
      <c r="W52" s="45">
        <f t="shared" ref="W52:X52" si="7">T52*$G59/860</f>
        <v>20.465116279069768</v>
      </c>
      <c r="X52" s="45">
        <f t="shared" si="7"/>
        <v>16.604651162790699</v>
      </c>
    </row>
    <row r="53" spans="1:24" s="2" customFormat="1" ht="15.6" hidden="1" x14ac:dyDescent="0.3">
      <c r="A53" s="34"/>
      <c r="B53" s="37"/>
      <c r="F53" s="9"/>
      <c r="G53" s="9"/>
      <c r="I53" s="9"/>
      <c r="J53" s="9"/>
      <c r="M53" s="35"/>
      <c r="N53" s="47" t="s">
        <v>29</v>
      </c>
      <c r="O53" s="2">
        <f>IF(G47=N53,1,0)</f>
        <v>0</v>
      </c>
      <c r="P53" s="9" t="s">
        <v>15</v>
      </c>
      <c r="Q53" s="41">
        <v>2.4</v>
      </c>
      <c r="R53" s="44">
        <v>5</v>
      </c>
      <c r="S53" s="44">
        <v>1212</v>
      </c>
      <c r="T53" s="44">
        <v>989</v>
      </c>
      <c r="U53" s="44">
        <v>829</v>
      </c>
      <c r="V53" s="45">
        <f>S53*$G59/860</f>
        <v>28.186046511627907</v>
      </c>
      <c r="W53" s="45">
        <f t="shared" ref="W53:X53" si="8">T53*$G59/860</f>
        <v>23</v>
      </c>
      <c r="X53" s="45">
        <f t="shared" si="8"/>
        <v>19.279069767441861</v>
      </c>
    </row>
    <row r="54" spans="1:24" s="2" customFormat="1" ht="15.6" hidden="1" x14ac:dyDescent="0.3">
      <c r="A54" s="34"/>
      <c r="B54" s="37"/>
      <c r="F54" s="9"/>
      <c r="G54" s="9"/>
      <c r="I54" s="9"/>
      <c r="J54" s="9"/>
      <c r="M54" s="35"/>
      <c r="N54" s="47" t="s">
        <v>30</v>
      </c>
      <c r="O54" s="2">
        <f>IF(G47=N54,1,0)</f>
        <v>0</v>
      </c>
      <c r="P54" s="9" t="s">
        <v>15</v>
      </c>
      <c r="Q54" s="41">
        <v>3.1</v>
      </c>
      <c r="R54" s="44">
        <v>5</v>
      </c>
      <c r="S54" s="44">
        <v>1497</v>
      </c>
      <c r="T54" s="44">
        <v>1143</v>
      </c>
      <c r="U54" s="44">
        <v>949</v>
      </c>
      <c r="V54" s="45">
        <f>S54*$G59/860</f>
        <v>34.813953488372093</v>
      </c>
      <c r="W54" s="45">
        <f t="shared" ref="W54:X54" si="9">T54*$G59/860</f>
        <v>26.581395348837209</v>
      </c>
      <c r="X54" s="45">
        <f t="shared" si="9"/>
        <v>22.069767441860463</v>
      </c>
    </row>
    <row r="55" spans="1:24" s="2" customFormat="1" ht="15.6" hidden="1" x14ac:dyDescent="0.3">
      <c r="A55" s="34"/>
      <c r="B55" s="37"/>
      <c r="F55" s="9"/>
      <c r="G55" s="9"/>
      <c r="I55" s="9"/>
      <c r="J55" s="9"/>
      <c r="M55" s="35"/>
      <c r="N55" s="47" t="s">
        <v>31</v>
      </c>
      <c r="O55" s="2">
        <f>IF(G47=N55,1,0)</f>
        <v>0</v>
      </c>
      <c r="P55" s="9" t="s">
        <v>15</v>
      </c>
      <c r="Q55" s="41">
        <v>1.7</v>
      </c>
      <c r="R55" s="44">
        <v>5</v>
      </c>
      <c r="S55" s="44">
        <v>858</v>
      </c>
      <c r="T55" s="44">
        <v>781</v>
      </c>
      <c r="U55" s="44">
        <v>607</v>
      </c>
      <c r="V55" s="45">
        <f>S55*$G59/860</f>
        <v>19.953488372093023</v>
      </c>
      <c r="W55" s="45">
        <f t="shared" ref="W55:X55" si="10">T55*$G59/860</f>
        <v>18.162790697674417</v>
      </c>
      <c r="X55" s="45">
        <f t="shared" si="10"/>
        <v>14.116279069767442</v>
      </c>
    </row>
    <row r="56" spans="1:24" s="2" customFormat="1" ht="15.6" hidden="1" x14ac:dyDescent="0.3">
      <c r="A56" s="34"/>
      <c r="B56" s="37"/>
      <c r="F56" s="9"/>
      <c r="G56" s="9"/>
      <c r="I56" s="9"/>
      <c r="J56" s="9"/>
      <c r="M56" s="35"/>
      <c r="N56" s="47" t="s">
        <v>32</v>
      </c>
      <c r="O56" s="2">
        <f>IF(G47=N56,1,0)</f>
        <v>0</v>
      </c>
      <c r="P56" s="9" t="s">
        <v>15</v>
      </c>
      <c r="Q56" s="41">
        <v>1.9</v>
      </c>
      <c r="R56" s="44">
        <v>5</v>
      </c>
      <c r="S56" s="44">
        <v>1000</v>
      </c>
      <c r="T56" s="44">
        <v>850</v>
      </c>
      <c r="U56" s="44">
        <v>678</v>
      </c>
      <c r="V56" s="45">
        <f>S56*$G59/860</f>
        <v>23.255813953488371</v>
      </c>
      <c r="W56" s="45">
        <f t="shared" ref="W56:X56" si="11">T56*$G59/860</f>
        <v>19.767441860465116</v>
      </c>
      <c r="X56" s="45">
        <f t="shared" si="11"/>
        <v>15.767441860465116</v>
      </c>
    </row>
    <row r="57" spans="1:24" ht="8.25" customHeight="1" x14ac:dyDescent="0.35">
      <c r="A57" s="7"/>
      <c r="F57" s="33"/>
      <c r="G57" s="33"/>
      <c r="H57" s="33"/>
      <c r="I57" s="33"/>
      <c r="J57" s="33"/>
      <c r="M57" s="10"/>
      <c r="N57" s="48"/>
    </row>
    <row r="58" spans="1:24" x14ac:dyDescent="0.3">
      <c r="A58" s="7"/>
      <c r="B58" t="s">
        <v>66</v>
      </c>
      <c r="G58" s="61">
        <v>0</v>
      </c>
      <c r="H58" s="71" t="str">
        <f>IF(G21+G58+G95&gt;3,"Numero massimo di moduli totali = 3","")</f>
        <v/>
      </c>
      <c r="I58" s="71"/>
      <c r="J58" s="71"/>
      <c r="K58" s="71"/>
      <c r="L58" s="71"/>
      <c r="M58" s="10"/>
      <c r="O58" s="2">
        <v>0</v>
      </c>
    </row>
    <row r="59" spans="1:24" x14ac:dyDescent="0.3">
      <c r="A59" s="7"/>
      <c r="B59" t="s">
        <v>67</v>
      </c>
      <c r="G59" s="61">
        <v>20</v>
      </c>
      <c r="H59" t="s">
        <v>1</v>
      </c>
      <c r="M59" s="10"/>
      <c r="N59" s="49"/>
      <c r="O59" s="2">
        <v>1</v>
      </c>
    </row>
    <row r="60" spans="1:24" ht="15.6" x14ac:dyDescent="0.3">
      <c r="A60" s="7"/>
      <c r="B60" t="s">
        <v>68</v>
      </c>
      <c r="G60" s="61">
        <v>1000</v>
      </c>
      <c r="H60" s="22" t="s">
        <v>2</v>
      </c>
      <c r="I60" s="8"/>
      <c r="J60" s="8"/>
      <c r="K60" s="51"/>
      <c r="L60" s="25"/>
      <c r="M60" s="10"/>
      <c r="N60" s="49"/>
      <c r="O60" s="2">
        <v>2</v>
      </c>
      <c r="P60" s="54"/>
      <c r="Q60" s="11"/>
      <c r="R60" s="11"/>
      <c r="S60" s="11"/>
      <c r="T60" s="11"/>
      <c r="U60" s="11"/>
      <c r="V60" s="11"/>
      <c r="W60" s="11"/>
      <c r="X60" s="11"/>
    </row>
    <row r="61" spans="1:24" x14ac:dyDescent="0.3">
      <c r="A61" s="7"/>
      <c r="L61" s="12" t="s">
        <v>69</v>
      </c>
      <c r="M61" s="10"/>
      <c r="N61" s="49"/>
      <c r="O61" s="2">
        <v>3</v>
      </c>
    </row>
    <row r="62" spans="1:24" ht="15.6" x14ac:dyDescent="0.3">
      <c r="A62" s="7"/>
      <c r="B62" s="13" t="s">
        <v>70</v>
      </c>
      <c r="E62" s="30" t="str">
        <f>IF(G58=0,"- -",G60*G59/860)</f>
        <v>- -</v>
      </c>
      <c r="F62" s="21" t="s">
        <v>0</v>
      </c>
      <c r="H62" s="58" t="s">
        <v>71</v>
      </c>
      <c r="I62" s="56" t="str">
        <f>IF(G58=0,"- -",IF(AND(O47=1,O64=1),V47,IF(AND(O47=1,O65=1),W47,IF(AND(O47=1,O66=1),X47,IF(AND(O48=1,O64=1),V48,IF(AND(O48=1,O65=1),W48,IF(AND(O48=1,O66=1),X48,IF(AND(O49=1,O64=1),V49,IF(AND(O49=1,O65=1),W49,IF(AND(O49=1,O66=1),X49,IF(AND(O50=1,O64=1),V50,IF(AND(O50=1,O65=1),W50,IF(AND(O50=1,O66=1),X50,IF(AND(O51=1,O64=1),V51,IF(AND(O51=1,O65=1),W51,IF(AND(O51=1,O66=1),X51,IF(AND(O52=1,O64=1),V52,IF(AND(O52=1,O65=1),W52,IF(AND(O52=1,O66=1),X52,IF(AND(O53=1,O64=1),V53,IF(AND(O53=1,O65=1),W53,IF(AND(O53=1,O66=1),X53,IF(AND(O54=1,O64=1),V54,IF(AND(O54=1,O65=1),W54,IF(AND(O54=1,O66=1),X54,IF(AND(O55=1,O64=1),V55,IF(AND(O55=1,O65=1),W55,IF(AND(O55=1,O66=1),X55,IF(AND(O56=1,O64=1),V56,IF(AND(O56=1,O65=1),W56,IF(AND(O56=1,O66=1),X56,"Errore")))))))))))))))))))))))))))))))</f>
        <v>- -</v>
      </c>
      <c r="J62" s="59" t="s">
        <v>18</v>
      </c>
      <c r="K62" s="30" t="str">
        <f>IF(G58=0,"- -",G58*E62)</f>
        <v>- -</v>
      </c>
      <c r="L62" s="21" t="s">
        <v>0</v>
      </c>
      <c r="M62" s="10"/>
      <c r="N62" s="57" t="e">
        <f>E62/I62-1</f>
        <v>#VALUE!</v>
      </c>
      <c r="P62" s="28"/>
      <c r="Q62" s="24"/>
      <c r="S62" s="54" t="s">
        <v>13</v>
      </c>
      <c r="T62" s="54" t="s">
        <v>14</v>
      </c>
      <c r="U62" s="54"/>
    </row>
    <row r="63" spans="1:24" x14ac:dyDescent="0.3">
      <c r="A63" s="7"/>
      <c r="M63" s="10"/>
      <c r="P63" s="54" t="s">
        <v>11</v>
      </c>
      <c r="Q63" s="54" t="s">
        <v>10</v>
      </c>
      <c r="R63" s="54" t="s">
        <v>9</v>
      </c>
      <c r="S63" s="54" t="s">
        <v>12</v>
      </c>
      <c r="T63" s="54" t="s">
        <v>12</v>
      </c>
      <c r="U63" s="54"/>
      <c r="V63" s="54" t="s">
        <v>7</v>
      </c>
      <c r="W63" s="54" t="s">
        <v>8</v>
      </c>
      <c r="X63" s="54"/>
    </row>
    <row r="64" spans="1:24" x14ac:dyDescent="0.3">
      <c r="A64" s="7"/>
      <c r="B64" t="s">
        <v>72</v>
      </c>
      <c r="G64" s="68" t="s">
        <v>3</v>
      </c>
      <c r="H64" s="68"/>
      <c r="I64" s="68"/>
      <c r="J64" s="68"/>
      <c r="M64" s="10"/>
      <c r="N64" s="2" t="s">
        <v>6</v>
      </c>
      <c r="O64" s="2">
        <f>IF(N64=G64,1,0)</f>
        <v>0</v>
      </c>
      <c r="P64" s="9" t="str">
        <f>IF(O64=1,1,"")</f>
        <v/>
      </c>
      <c r="Q64" s="9" t="str">
        <f>IF(O64=1,IF(G60&gt;=R64,2,1),"")</f>
        <v/>
      </c>
      <c r="R64" s="53">
        <v>1400</v>
      </c>
      <c r="S64" s="53">
        <v>-2.2857099999999998E-3</v>
      </c>
      <c r="T64" s="53">
        <v>10.8</v>
      </c>
      <c r="V64" s="53">
        <v>7.6</v>
      </c>
      <c r="W64" s="9">
        <f>G60*S64+T64</f>
        <v>8.5142900000000008</v>
      </c>
    </row>
    <row r="65" spans="1:24" s="2" customFormat="1" hidden="1" x14ac:dyDescent="0.3">
      <c r="A65" s="34"/>
      <c r="F65" s="9"/>
      <c r="G65" s="9"/>
      <c r="I65" s="9"/>
      <c r="J65" s="9"/>
      <c r="M65" s="35"/>
      <c r="N65" s="2" t="s">
        <v>4</v>
      </c>
      <c r="O65" s="2">
        <f>IF(N65=G64,1,0)</f>
        <v>0</v>
      </c>
      <c r="P65" s="9" t="str">
        <f>IF(O65=1,2,"")</f>
        <v/>
      </c>
      <c r="Q65" s="9" t="str">
        <f>IF(O65=1,IF(G60&gt;=R65,2,1),"")</f>
        <v/>
      </c>
      <c r="R65" s="53">
        <v>800</v>
      </c>
      <c r="S65" s="53">
        <v>-2.23077E-3</v>
      </c>
      <c r="T65" s="53">
        <v>8.9350000000000005</v>
      </c>
      <c r="U65" s="9"/>
      <c r="V65" s="53">
        <v>7.15</v>
      </c>
      <c r="W65" s="9">
        <f>G60*S65+T65</f>
        <v>6.7042300000000008</v>
      </c>
      <c r="X65" s="9"/>
    </row>
    <row r="66" spans="1:24" s="2" customFormat="1" hidden="1" x14ac:dyDescent="0.3">
      <c r="A66" s="34"/>
      <c r="F66" s="9"/>
      <c r="G66" s="9"/>
      <c r="I66" s="9"/>
      <c r="J66" s="9"/>
      <c r="M66" s="35"/>
      <c r="N66" s="2" t="s">
        <v>3</v>
      </c>
      <c r="O66" s="2">
        <f>IF(N66=G64,1,0)</f>
        <v>1</v>
      </c>
      <c r="P66" s="9">
        <f>IF(O66=1,3,"")</f>
        <v>3</v>
      </c>
      <c r="Q66" s="9">
        <f>IF(O66=1,IF(G60&gt;=R66,2,1),"")</f>
        <v>2</v>
      </c>
      <c r="R66" s="53">
        <v>800</v>
      </c>
      <c r="S66" s="53">
        <v>-2.1538400000000002E-3</v>
      </c>
      <c r="T66" s="53">
        <v>8</v>
      </c>
      <c r="U66" s="9"/>
      <c r="V66" s="53">
        <v>6.3</v>
      </c>
      <c r="W66" s="9">
        <f>G60*S66+T66</f>
        <v>5.8461599999999994</v>
      </c>
      <c r="X66" s="9"/>
    </row>
    <row r="67" spans="1:24" s="2" customFormat="1" ht="18" hidden="1" x14ac:dyDescent="0.35">
      <c r="A67" s="34"/>
      <c r="F67" s="36"/>
      <c r="G67" s="36"/>
      <c r="H67" s="36"/>
      <c r="I67" s="36"/>
      <c r="J67" s="36"/>
      <c r="M67" s="35"/>
      <c r="N67" s="48"/>
      <c r="O67" s="2">
        <f>SUM(O64:O66)</f>
        <v>1</v>
      </c>
      <c r="P67" s="9">
        <f>SUM(P64:P66)</f>
        <v>3</v>
      </c>
      <c r="Q67" s="9">
        <f>SUM(Q64:Q66)</f>
        <v>2</v>
      </c>
      <c r="R67" s="9"/>
      <c r="S67" s="9"/>
      <c r="T67" s="9"/>
      <c r="U67" s="9"/>
      <c r="V67" s="9"/>
      <c r="W67" s="9"/>
      <c r="X67" s="9"/>
    </row>
    <row r="68" spans="1:24" ht="8.25" customHeight="1" x14ac:dyDescent="0.3">
      <c r="A68" s="7"/>
      <c r="M68" s="10"/>
    </row>
    <row r="69" spans="1:24" x14ac:dyDescent="0.3">
      <c r="A69" s="7"/>
      <c r="H69" s="14" t="s">
        <v>73</v>
      </c>
      <c r="I69" s="26" t="str">
        <f>IF(G58=0,"- -",IF(O67=1,IF(AND(P67=1,Q67=1),V64,IF(AND(P67=1,Q67=2),W64,IF(AND(P67=2,Q67=1),V65,IF(AND(P67=2,Q67=2),W65,IF(AND(P67=3,Q67=1),V66,IF(AND(P67=3,Q67=2),W66,"Errore")))))),"- -"))</f>
        <v>- -</v>
      </c>
      <c r="J69" t="s">
        <v>5</v>
      </c>
      <c r="M69" s="10"/>
    </row>
    <row r="70" spans="1:24" x14ac:dyDescent="0.3">
      <c r="A70" s="7"/>
      <c r="H70" s="14" t="s">
        <v>74</v>
      </c>
      <c r="I70" s="26" t="str">
        <f>IF(G58=0,"- -",IF(O67=1,IF(S70&lt;0.2,0.2,S70),"- -"))</f>
        <v>- -</v>
      </c>
      <c r="J70" t="s">
        <v>5</v>
      </c>
      <c r="M70" s="10"/>
      <c r="P70" s="9" t="s">
        <v>15</v>
      </c>
      <c r="Q70" s="24">
        <f>IF(O47=1,Q47,IF(O48=1,Q48,IF(O49=1,Q49,IF(O50=1,Q50,IF(O51=1,Q51,IF(O52=1,Q52,IF(O53=1,Q53,IF(O54=1,Q54,IF(O54=1,Q54,IF(O55=1,Q55,IF(O56=1,Q56,"Errore!")))))))))))</f>
        <v>6</v>
      </c>
      <c r="R70" s="28" t="s">
        <v>16</v>
      </c>
      <c r="S70" s="9">
        <f>(G60/1000/Q70)^2*10.198</f>
        <v>0.28327777777777779</v>
      </c>
    </row>
    <row r="71" spans="1:24" ht="15.6" x14ac:dyDescent="0.3">
      <c r="A71" s="7"/>
      <c r="H71" s="15" t="s">
        <v>75</v>
      </c>
      <c r="I71" s="23" t="str">
        <f>IF(G58=0,"- -",IF(O67=1,I69-I70,"- -"))</f>
        <v>- -</v>
      </c>
      <c r="J71" s="16" t="s">
        <v>5</v>
      </c>
      <c r="K71" s="46"/>
      <c r="M71" s="10"/>
      <c r="N71" s="32"/>
    </row>
    <row r="72" spans="1:24" ht="9" customHeight="1" x14ac:dyDescent="0.3">
      <c r="A72" s="7"/>
      <c r="H72" s="15"/>
      <c r="I72" s="23"/>
      <c r="J72" s="16"/>
      <c r="M72" s="10"/>
      <c r="N72" s="32"/>
    </row>
    <row r="73" spans="1:24" ht="15.6" x14ac:dyDescent="0.3">
      <c r="A73" s="7"/>
      <c r="B73" s="13" t="str">
        <f>IF(G59&lt;=12,"Calcolo sottopavimento:","Calcolo sottopavimento non disponibile se Δt &gt; 12 K")</f>
        <v>Calcolo sottopavimento non disponibile se Δt &gt; 12 K</v>
      </c>
      <c r="H73" s="15"/>
      <c r="I73" s="23"/>
      <c r="J73" s="16"/>
      <c r="M73" s="10"/>
      <c r="N73" s="32"/>
      <c r="S73" s="54" t="s">
        <v>19</v>
      </c>
    </row>
    <row r="74" spans="1:24" ht="9" customHeight="1" x14ac:dyDescent="0.3">
      <c r="A74" s="7"/>
      <c r="H74" s="15"/>
      <c r="I74" s="23"/>
      <c r="J74" s="16"/>
      <c r="M74" s="10"/>
      <c r="N74" s="32"/>
    </row>
    <row r="75" spans="1:24" x14ac:dyDescent="0.3">
      <c r="A75" s="7"/>
      <c r="B75" t="s">
        <v>76</v>
      </c>
      <c r="F75" s="14"/>
      <c r="G75" s="62" t="s">
        <v>24</v>
      </c>
      <c r="I75" s="38" t="str">
        <f>IF(G59&gt;12,"","Utilizzare Δt =")</f>
        <v/>
      </c>
      <c r="J75" s="16" t="str">
        <f>IF(G59&gt;12,"",IF(G75=N75,P75,IF(G75=N76,P76,IF(G75=N77,P77,""))))</f>
        <v/>
      </c>
      <c r="M75" s="10"/>
      <c r="N75" s="24" t="s">
        <v>23</v>
      </c>
      <c r="O75" s="2">
        <f>IF(N75=G75,1,0)</f>
        <v>0</v>
      </c>
      <c r="P75" s="9" t="s">
        <v>20</v>
      </c>
      <c r="Q75" s="31">
        <f>T75*S75</f>
        <v>34.375</v>
      </c>
      <c r="R75" s="24" t="s">
        <v>17</v>
      </c>
      <c r="S75" s="53">
        <v>1.375</v>
      </c>
      <c r="T75" s="42">
        <v>25</v>
      </c>
      <c r="U75" s="27"/>
      <c r="V75" s="24" t="s">
        <v>17</v>
      </c>
    </row>
    <row r="76" spans="1:24" s="2" customFormat="1" ht="15.6" hidden="1" x14ac:dyDescent="0.3">
      <c r="A76" s="34"/>
      <c r="F76" s="27"/>
      <c r="G76" s="39"/>
      <c r="H76" s="40"/>
      <c r="I76" s="39"/>
      <c r="J76" s="32"/>
      <c r="M76" s="35"/>
      <c r="N76" s="24" t="s">
        <v>24</v>
      </c>
      <c r="O76" s="2">
        <f>IF(N76=G75,1,0)</f>
        <v>1</v>
      </c>
      <c r="P76" s="9" t="s">
        <v>21</v>
      </c>
      <c r="Q76" s="31">
        <f>T76*S76</f>
        <v>110</v>
      </c>
      <c r="R76" s="24" t="s">
        <v>17</v>
      </c>
      <c r="S76" s="53">
        <v>1.375</v>
      </c>
      <c r="T76" s="43">
        <v>80</v>
      </c>
      <c r="U76" s="31"/>
      <c r="V76" s="24" t="s">
        <v>17</v>
      </c>
      <c r="W76" s="9"/>
      <c r="X76" s="9"/>
    </row>
    <row r="77" spans="1:24" s="2" customFormat="1" ht="15.6" hidden="1" x14ac:dyDescent="0.3">
      <c r="A77" s="34"/>
      <c r="F77" s="27"/>
      <c r="G77" s="39"/>
      <c r="H77" s="40"/>
      <c r="I77" s="39"/>
      <c r="J77" s="32"/>
      <c r="M77" s="35"/>
      <c r="N77" s="24" t="s">
        <v>25</v>
      </c>
      <c r="O77" s="2">
        <f>IF(N77=G75,1,0)</f>
        <v>0</v>
      </c>
      <c r="P77" s="9" t="s">
        <v>22</v>
      </c>
      <c r="Q77" s="31">
        <f>T77*S77</f>
        <v>192.5</v>
      </c>
      <c r="R77" s="24" t="s">
        <v>17</v>
      </c>
      <c r="S77" s="53">
        <v>1.375</v>
      </c>
      <c r="T77" s="42">
        <v>140</v>
      </c>
      <c r="U77" s="27"/>
      <c r="V77" s="24" t="s">
        <v>17</v>
      </c>
      <c r="W77" s="9"/>
      <c r="X77" s="9"/>
    </row>
    <row r="78" spans="1:24" s="2" customFormat="1" ht="18" hidden="1" x14ac:dyDescent="0.35">
      <c r="A78" s="34"/>
      <c r="F78" s="36"/>
      <c r="G78" s="36"/>
      <c r="H78" s="36"/>
      <c r="I78" s="36"/>
      <c r="J78" s="36"/>
      <c r="M78" s="35"/>
      <c r="N78" s="48"/>
      <c r="O78" s="2">
        <f>SUM(O75:O77)</f>
        <v>1</v>
      </c>
      <c r="P78" s="9">
        <f>SUM(P75:P77)</f>
        <v>0</v>
      </c>
      <c r="Q78" s="27"/>
      <c r="R78" s="9"/>
      <c r="S78" s="9"/>
      <c r="T78" s="9"/>
      <c r="U78" s="9"/>
      <c r="V78" s="9"/>
      <c r="W78" s="9"/>
      <c r="X78" s="9"/>
    </row>
    <row r="79" spans="1:24" ht="9" customHeight="1" x14ac:dyDescent="0.3">
      <c r="A79" s="7"/>
      <c r="H79" s="15"/>
      <c r="I79" s="23"/>
      <c r="J79" s="16"/>
      <c r="M79" s="10"/>
      <c r="N79" s="32"/>
    </row>
    <row r="80" spans="1:24" ht="44.25" customHeight="1" x14ac:dyDescent="0.3">
      <c r="A80" s="7"/>
      <c r="B80" s="65" t="str">
        <f>IF(G59&gt;12,"","Superficie massima dell'impianto sottopavimento gestibile da ciascun modulo, con un salto termico proporzionato alla classe d'isolamento termico selezionata:")</f>
        <v/>
      </c>
      <c r="C80" s="65"/>
      <c r="D80" s="65"/>
      <c r="E80" s="65"/>
      <c r="F80" s="65"/>
      <c r="G80" s="65"/>
      <c r="H80" s="65"/>
      <c r="I80" s="52" t="str">
        <f>IF(G59&gt;12,"",IF(G58=0,"- -",IF(G59&lt;=12,IF(O75=1,E62*1000/Q75,IF(O76=1,E62*1000/Q76,IF(O77=1,E62*1000/Q77,"- -"))),"- - ")))</f>
        <v/>
      </c>
      <c r="J80" s="29" t="str">
        <f>IF(G59&gt;12,"","m2")</f>
        <v/>
      </c>
      <c r="M80" s="10"/>
      <c r="N80" s="50"/>
      <c r="Q80" s="27"/>
    </row>
    <row r="81" spans="1:24" ht="10.5" customHeight="1" x14ac:dyDescent="0.3">
      <c r="A81" s="17"/>
      <c r="B81" s="18"/>
      <c r="C81" s="18"/>
      <c r="D81" s="18"/>
      <c r="E81" s="18"/>
      <c r="F81" s="19"/>
      <c r="G81" s="18"/>
      <c r="H81" s="18"/>
      <c r="I81" s="19"/>
      <c r="J81" s="19"/>
      <c r="K81" s="18"/>
      <c r="L81" s="18"/>
      <c r="M81" s="20"/>
    </row>
    <row r="82" spans="1:24" ht="11.25" customHeight="1" x14ac:dyDescent="0.3"/>
    <row r="83" spans="1:24" ht="10.5" customHeight="1" x14ac:dyDescent="0.3">
      <c r="A83" s="3"/>
      <c r="B83" s="4"/>
      <c r="C83" s="4"/>
      <c r="D83" s="4"/>
      <c r="E83" s="4"/>
      <c r="F83" s="5"/>
      <c r="G83" s="4"/>
      <c r="H83" s="4"/>
      <c r="I83" s="5"/>
      <c r="J83" s="5"/>
      <c r="K83" s="4"/>
      <c r="L83" s="4"/>
      <c r="M83" s="6"/>
      <c r="Q83" s="53"/>
      <c r="R83" s="44"/>
      <c r="S83" s="44"/>
      <c r="T83" s="44"/>
      <c r="U83" s="44"/>
    </row>
    <row r="84" spans="1:24" ht="15.6" x14ac:dyDescent="0.3">
      <c r="A84" s="7"/>
      <c r="B84" s="8" t="s">
        <v>78</v>
      </c>
      <c r="G84" s="70" t="s">
        <v>33</v>
      </c>
      <c r="H84" s="70"/>
      <c r="I84" s="70"/>
      <c r="J84" s="70"/>
      <c r="M84" s="10"/>
      <c r="N84" s="47" t="s">
        <v>33</v>
      </c>
      <c r="O84" s="2">
        <f>IF(G84=N84,1,0)</f>
        <v>1</v>
      </c>
      <c r="P84" s="9" t="s">
        <v>15</v>
      </c>
      <c r="Q84" s="41">
        <v>6</v>
      </c>
      <c r="R84" s="44">
        <v>4.0999999999999996</v>
      </c>
      <c r="S84" s="44">
        <v>2284</v>
      </c>
      <c r="T84" s="44">
        <v>1770</v>
      </c>
      <c r="U84" s="44">
        <v>1511</v>
      </c>
      <c r="V84" s="45">
        <f>S84*$G96/860</f>
        <v>53.116279069767444</v>
      </c>
      <c r="W84" s="45">
        <f>T84*$G96/860</f>
        <v>41.162790697674417</v>
      </c>
      <c r="X84" s="45">
        <f>U84*$G96/860</f>
        <v>35.139534883720927</v>
      </c>
    </row>
    <row r="85" spans="1:24" s="2" customFormat="1" ht="15.6" hidden="1" x14ac:dyDescent="0.3">
      <c r="A85" s="34"/>
      <c r="B85" s="37"/>
      <c r="F85" s="9"/>
      <c r="G85" s="9"/>
      <c r="I85" s="9"/>
      <c r="J85" s="9"/>
      <c r="M85" s="35"/>
      <c r="N85" s="47" t="s">
        <v>34</v>
      </c>
      <c r="O85" s="2">
        <f>IF(G84=N85,1,0)</f>
        <v>0</v>
      </c>
      <c r="P85" s="9" t="s">
        <v>15</v>
      </c>
      <c r="Q85" s="41">
        <v>2.7</v>
      </c>
      <c r="R85" s="44">
        <v>5</v>
      </c>
      <c r="S85" s="44">
        <v>1363</v>
      </c>
      <c r="T85" s="44">
        <v>1060</v>
      </c>
      <c r="U85" s="44">
        <v>885</v>
      </c>
      <c r="V85" s="45">
        <f>S85*$G96/860</f>
        <v>31.697674418604652</v>
      </c>
      <c r="W85" s="45">
        <f>T85*$G96/860</f>
        <v>24.651162790697676</v>
      </c>
      <c r="X85" s="45">
        <f>U85*$G96/860</f>
        <v>20.581395348837209</v>
      </c>
    </row>
    <row r="86" spans="1:24" s="2" customFormat="1" ht="15.6" hidden="1" x14ac:dyDescent="0.3">
      <c r="A86" s="34"/>
      <c r="B86" s="37"/>
      <c r="F86" s="9"/>
      <c r="G86" s="9"/>
      <c r="I86" s="9"/>
      <c r="J86" s="9"/>
      <c r="M86" s="35"/>
      <c r="N86" s="47" t="s">
        <v>35</v>
      </c>
      <c r="O86" s="2">
        <f>IF(G84=N86,1,0)</f>
        <v>0</v>
      </c>
      <c r="P86" s="9" t="s">
        <v>15</v>
      </c>
      <c r="Q86" s="41">
        <v>3.8</v>
      </c>
      <c r="R86" s="44">
        <v>5</v>
      </c>
      <c r="S86" s="44">
        <v>1673</v>
      </c>
      <c r="T86" s="44">
        <v>1261</v>
      </c>
      <c r="U86" s="44">
        <v>1039</v>
      </c>
      <c r="V86" s="45">
        <f>S86*$G96/860</f>
        <v>38.906976744186046</v>
      </c>
      <c r="W86" s="45">
        <f>T86*$G96/860</f>
        <v>29.325581395348838</v>
      </c>
      <c r="X86" s="45">
        <f>U86*$G96/860</f>
        <v>24.162790697674417</v>
      </c>
    </row>
    <row r="87" spans="1:24" s="2" customFormat="1" ht="15.6" hidden="1" x14ac:dyDescent="0.3">
      <c r="A87" s="34"/>
      <c r="B87" s="37"/>
      <c r="F87" s="9"/>
      <c r="G87" s="9"/>
      <c r="I87" s="9"/>
      <c r="J87" s="9"/>
      <c r="M87" s="35"/>
      <c r="N87" s="47" t="s">
        <v>26</v>
      </c>
      <c r="O87" s="2">
        <f>IF(G84=N87,1,0)</f>
        <v>0</v>
      </c>
      <c r="P87" s="9" t="s">
        <v>15</v>
      </c>
      <c r="Q87" s="41">
        <v>4</v>
      </c>
      <c r="R87" s="44">
        <v>4.5</v>
      </c>
      <c r="S87" s="44">
        <v>1826</v>
      </c>
      <c r="T87" s="44">
        <v>1416</v>
      </c>
      <c r="U87" s="44">
        <v>1199</v>
      </c>
      <c r="V87" s="45">
        <f>S87*$G96/860</f>
        <v>42.465116279069768</v>
      </c>
      <c r="W87" s="45">
        <f>T87*$G96/860</f>
        <v>32.930232558139537</v>
      </c>
      <c r="X87" s="45">
        <f>U87*$G96/860</f>
        <v>27.88372093023256</v>
      </c>
    </row>
    <row r="88" spans="1:24" s="2" customFormat="1" ht="15.6" hidden="1" x14ac:dyDescent="0.3">
      <c r="A88" s="34"/>
      <c r="B88" s="37"/>
      <c r="F88" s="9"/>
      <c r="G88" s="9"/>
      <c r="I88" s="9"/>
      <c r="J88" s="9"/>
      <c r="M88" s="35"/>
      <c r="N88" s="47" t="s">
        <v>27</v>
      </c>
      <c r="O88" s="2">
        <f>IF(G84=N88,1,0)</f>
        <v>0</v>
      </c>
      <c r="P88" s="9" t="s">
        <v>15</v>
      </c>
      <c r="Q88" s="41">
        <v>5.5</v>
      </c>
      <c r="R88" s="44">
        <v>4.5</v>
      </c>
      <c r="S88" s="44">
        <v>1950</v>
      </c>
      <c r="T88" s="44">
        <v>1601</v>
      </c>
      <c r="U88" s="44">
        <v>1343</v>
      </c>
      <c r="V88" s="45">
        <f>S88*$G96/860</f>
        <v>45.348837209302324</v>
      </c>
      <c r="W88" s="45">
        <f t="shared" ref="W88:X88" si="12">T88*$G96/860</f>
        <v>37.232558139534881</v>
      </c>
      <c r="X88" s="45">
        <f t="shared" si="12"/>
        <v>31.232558139534884</v>
      </c>
    </row>
    <row r="89" spans="1:24" s="2" customFormat="1" ht="15.6" hidden="1" x14ac:dyDescent="0.3">
      <c r="A89" s="34"/>
      <c r="B89" s="37"/>
      <c r="F89" s="9"/>
      <c r="G89" s="9"/>
      <c r="I89" s="9"/>
      <c r="J89" s="9"/>
      <c r="M89" s="35"/>
      <c r="N89" s="47" t="s">
        <v>28</v>
      </c>
      <c r="O89" s="2">
        <f>IF(G84=N89,1,0)</f>
        <v>0</v>
      </c>
      <c r="P89" s="9" t="s">
        <v>15</v>
      </c>
      <c r="Q89" s="41">
        <v>2</v>
      </c>
      <c r="R89" s="44">
        <v>5</v>
      </c>
      <c r="S89" s="44">
        <v>1010</v>
      </c>
      <c r="T89" s="44">
        <v>880</v>
      </c>
      <c r="U89" s="44">
        <v>714</v>
      </c>
      <c r="V89" s="45">
        <f>S89*$G96/860</f>
        <v>23.488372093023255</v>
      </c>
      <c r="W89" s="45">
        <f t="shared" ref="W89:X89" si="13">T89*$G96/860</f>
        <v>20.465116279069768</v>
      </c>
      <c r="X89" s="45">
        <f t="shared" si="13"/>
        <v>16.604651162790699</v>
      </c>
    </row>
    <row r="90" spans="1:24" s="2" customFormat="1" ht="15.6" hidden="1" x14ac:dyDescent="0.3">
      <c r="A90" s="34"/>
      <c r="B90" s="37"/>
      <c r="F90" s="9"/>
      <c r="G90" s="9"/>
      <c r="I90" s="9"/>
      <c r="J90" s="9"/>
      <c r="M90" s="35"/>
      <c r="N90" s="47" t="s">
        <v>29</v>
      </c>
      <c r="O90" s="2">
        <f>IF(G84=N90,1,0)</f>
        <v>0</v>
      </c>
      <c r="P90" s="9" t="s">
        <v>15</v>
      </c>
      <c r="Q90" s="41">
        <v>2.4</v>
      </c>
      <c r="R90" s="44">
        <v>5</v>
      </c>
      <c r="S90" s="44">
        <v>1212</v>
      </c>
      <c r="T90" s="44">
        <v>989</v>
      </c>
      <c r="U90" s="44">
        <v>829</v>
      </c>
      <c r="V90" s="45">
        <f>S90*$G96/860</f>
        <v>28.186046511627907</v>
      </c>
      <c r="W90" s="45">
        <f t="shared" ref="W90:X90" si="14">T90*$G96/860</f>
        <v>23</v>
      </c>
      <c r="X90" s="45">
        <f t="shared" si="14"/>
        <v>19.279069767441861</v>
      </c>
    </row>
    <row r="91" spans="1:24" s="2" customFormat="1" ht="15.6" hidden="1" x14ac:dyDescent="0.3">
      <c r="A91" s="34"/>
      <c r="B91" s="37"/>
      <c r="F91" s="9"/>
      <c r="G91" s="9"/>
      <c r="I91" s="9"/>
      <c r="J91" s="9"/>
      <c r="M91" s="35"/>
      <c r="N91" s="47" t="s">
        <v>30</v>
      </c>
      <c r="O91" s="2">
        <f>IF(G84=N91,1,0)</f>
        <v>0</v>
      </c>
      <c r="P91" s="9" t="s">
        <v>15</v>
      </c>
      <c r="Q91" s="41">
        <v>3.1</v>
      </c>
      <c r="R91" s="44">
        <v>5</v>
      </c>
      <c r="S91" s="44">
        <v>1497</v>
      </c>
      <c r="T91" s="44">
        <v>1143</v>
      </c>
      <c r="U91" s="44">
        <v>949</v>
      </c>
      <c r="V91" s="45">
        <f>S91*$G96/860</f>
        <v>34.813953488372093</v>
      </c>
      <c r="W91" s="45">
        <f t="shared" ref="W91:X91" si="15">T91*$G96/860</f>
        <v>26.581395348837209</v>
      </c>
      <c r="X91" s="45">
        <f t="shared" si="15"/>
        <v>22.069767441860463</v>
      </c>
    </row>
    <row r="92" spans="1:24" s="2" customFormat="1" ht="15.6" hidden="1" x14ac:dyDescent="0.3">
      <c r="A92" s="34"/>
      <c r="B92" s="37"/>
      <c r="F92" s="9"/>
      <c r="G92" s="9"/>
      <c r="I92" s="9"/>
      <c r="J92" s="9"/>
      <c r="M92" s="35"/>
      <c r="N92" s="47" t="s">
        <v>31</v>
      </c>
      <c r="O92" s="2">
        <f>IF(G84=N92,1,0)</f>
        <v>0</v>
      </c>
      <c r="P92" s="9" t="s">
        <v>15</v>
      </c>
      <c r="Q92" s="41">
        <v>1.7</v>
      </c>
      <c r="R92" s="44">
        <v>5</v>
      </c>
      <c r="S92" s="44">
        <v>858</v>
      </c>
      <c r="T92" s="44">
        <v>781</v>
      </c>
      <c r="U92" s="44">
        <v>607</v>
      </c>
      <c r="V92" s="45">
        <f>S92*$G96/860</f>
        <v>19.953488372093023</v>
      </c>
      <c r="W92" s="45">
        <f t="shared" ref="W92:X92" si="16">T92*$G96/860</f>
        <v>18.162790697674417</v>
      </c>
      <c r="X92" s="45">
        <f t="shared" si="16"/>
        <v>14.116279069767442</v>
      </c>
    </row>
    <row r="93" spans="1:24" s="2" customFormat="1" ht="15.6" hidden="1" x14ac:dyDescent="0.3">
      <c r="A93" s="34"/>
      <c r="B93" s="37"/>
      <c r="F93" s="9"/>
      <c r="G93" s="9"/>
      <c r="I93" s="9"/>
      <c r="J93" s="9"/>
      <c r="M93" s="35"/>
      <c r="N93" s="47" t="s">
        <v>32</v>
      </c>
      <c r="O93" s="2">
        <f>IF(G84=N93,1,0)</f>
        <v>0</v>
      </c>
      <c r="P93" s="9" t="s">
        <v>15</v>
      </c>
      <c r="Q93" s="41">
        <v>1.9</v>
      </c>
      <c r="R93" s="44">
        <v>5</v>
      </c>
      <c r="S93" s="44">
        <v>1000</v>
      </c>
      <c r="T93" s="44">
        <v>850</v>
      </c>
      <c r="U93" s="44">
        <v>678</v>
      </c>
      <c r="V93" s="45">
        <f>S93*$G96/860</f>
        <v>23.255813953488371</v>
      </c>
      <c r="W93" s="45">
        <f t="shared" ref="W93:X93" si="17">T93*$G96/860</f>
        <v>19.767441860465116</v>
      </c>
      <c r="X93" s="45">
        <f t="shared" si="17"/>
        <v>15.767441860465116</v>
      </c>
    </row>
    <row r="94" spans="1:24" ht="8.25" customHeight="1" x14ac:dyDescent="0.35">
      <c r="A94" s="7"/>
      <c r="F94" s="33"/>
      <c r="G94" s="33"/>
      <c r="H94" s="33"/>
      <c r="I94" s="33"/>
      <c r="J94" s="33"/>
      <c r="M94" s="10"/>
      <c r="N94" s="48"/>
    </row>
    <row r="95" spans="1:24" x14ac:dyDescent="0.3">
      <c r="A95" s="7"/>
      <c r="B95" t="s">
        <v>66</v>
      </c>
      <c r="G95" s="61">
        <v>0</v>
      </c>
      <c r="H95" s="71" t="str">
        <f>IF(G21+G58+G95&gt;3,"Numero massimo di moduli totali = 3","")</f>
        <v/>
      </c>
      <c r="I95" s="71"/>
      <c r="J95" s="71"/>
      <c r="K95" s="71"/>
      <c r="L95" s="71"/>
      <c r="M95" s="10"/>
      <c r="O95" s="2">
        <v>0</v>
      </c>
    </row>
    <row r="96" spans="1:24" x14ac:dyDescent="0.3">
      <c r="A96" s="7"/>
      <c r="B96" t="s">
        <v>67</v>
      </c>
      <c r="G96" s="61">
        <v>20</v>
      </c>
      <c r="H96" t="s">
        <v>1</v>
      </c>
      <c r="M96" s="10"/>
      <c r="N96" s="49"/>
      <c r="O96" s="2">
        <v>1</v>
      </c>
    </row>
    <row r="97" spans="1:24" ht="15.6" x14ac:dyDescent="0.3">
      <c r="A97" s="7"/>
      <c r="B97" t="s">
        <v>68</v>
      </c>
      <c r="G97" s="61">
        <v>1000</v>
      </c>
      <c r="H97" s="22" t="s">
        <v>2</v>
      </c>
      <c r="I97" s="8"/>
      <c r="J97" s="8"/>
      <c r="K97" s="51"/>
      <c r="L97" s="25"/>
      <c r="M97" s="10"/>
      <c r="N97" s="49"/>
      <c r="O97" s="2">
        <v>2</v>
      </c>
      <c r="P97" s="54"/>
      <c r="Q97" s="11"/>
      <c r="R97" s="11"/>
      <c r="S97" s="11"/>
      <c r="T97" s="11"/>
      <c r="U97" s="11"/>
      <c r="V97" s="11"/>
      <c r="W97" s="11"/>
      <c r="X97" s="11"/>
    </row>
    <row r="98" spans="1:24" x14ac:dyDescent="0.3">
      <c r="A98" s="7"/>
      <c r="L98" s="12" t="s">
        <v>69</v>
      </c>
      <c r="M98" s="10"/>
      <c r="N98" s="49"/>
      <c r="O98" s="2">
        <v>3</v>
      </c>
    </row>
    <row r="99" spans="1:24" ht="15.6" x14ac:dyDescent="0.3">
      <c r="A99" s="7"/>
      <c r="B99" s="13" t="s">
        <v>70</v>
      </c>
      <c r="E99" s="30" t="str">
        <f>IF(G95=0,"- -",G97*G96/860)</f>
        <v>- -</v>
      </c>
      <c r="F99" s="21" t="s">
        <v>0</v>
      </c>
      <c r="H99" s="58" t="s">
        <v>71</v>
      </c>
      <c r="I99" s="56" t="str">
        <f>IF(G95=0,"- -",IF(AND(O84=1,O101=1),V84,IF(AND(O84=1,O102=1),W84,IF(AND(O84=1,O103=1),X84,IF(AND(O85=1,O101=1),V85,IF(AND(O85=1,O102=1),W85,IF(AND(O85=1,O103=1),X85,IF(AND(O86=1,O101=1),V86,IF(AND(O86=1,O102=1),W86,IF(AND(O86=1,O103=1),X86,IF(AND(O87=1,O101=1),V87,IF(AND(O87=1,O102=1),W87,IF(AND(O87=1,O103=1),X87,IF(AND(O88=1,O101=1),V88,IF(AND(O88=1,O102=1),W88,IF(AND(O88=1,O103=1),X88,IF(AND(O89=1,O101=1),V89,IF(AND(O89=1,O102=1),W89,IF(AND(O89=1,O103=1),X89,IF(AND(O90=1,O101=1),V90,IF(AND(O90=1,O102=1),W90,IF(AND(O90=1,O103=1),X90,IF(AND(O91=1,O101=1),V91,IF(AND(O91=1,O102=1),W91,IF(AND(O91=1,O103=1),X91,IF(AND(O92=1,O101=1),V92,IF(AND(O92=1,O102=1),W92,IF(AND(O92=1,O103=1),X92,IF(AND(O93=1,O101=1),V93,IF(AND(O93=1,O102=1),W93,IF(AND(O93=1,O103=1),X93,"Errore")))))))))))))))))))))))))))))))</f>
        <v>- -</v>
      </c>
      <c r="J99" s="59" t="s">
        <v>18</v>
      </c>
      <c r="K99" s="30" t="str">
        <f>IF(G95=0,"- -",G95*E99)</f>
        <v>- -</v>
      </c>
      <c r="L99" s="21" t="s">
        <v>0</v>
      </c>
      <c r="M99" s="10"/>
      <c r="N99" s="60" t="e">
        <f>E99/I99-1</f>
        <v>#VALUE!</v>
      </c>
      <c r="P99" s="28"/>
      <c r="Q99" s="24"/>
      <c r="S99" s="54" t="s">
        <v>13</v>
      </c>
      <c r="T99" s="54" t="s">
        <v>14</v>
      </c>
      <c r="U99" s="54"/>
    </row>
    <row r="100" spans="1:24" x14ac:dyDescent="0.3">
      <c r="A100" s="7"/>
      <c r="M100" s="10"/>
      <c r="P100" s="54" t="s">
        <v>11</v>
      </c>
      <c r="Q100" s="54" t="s">
        <v>10</v>
      </c>
      <c r="R100" s="54" t="s">
        <v>9</v>
      </c>
      <c r="S100" s="54" t="s">
        <v>12</v>
      </c>
      <c r="T100" s="54" t="s">
        <v>12</v>
      </c>
      <c r="U100" s="54"/>
      <c r="V100" s="54" t="s">
        <v>7</v>
      </c>
      <c r="W100" s="54" t="s">
        <v>8</v>
      </c>
      <c r="X100" s="54"/>
    </row>
    <row r="101" spans="1:24" x14ac:dyDescent="0.3">
      <c r="A101" s="7"/>
      <c r="B101" t="s">
        <v>72</v>
      </c>
      <c r="G101" s="68" t="s">
        <v>6</v>
      </c>
      <c r="H101" s="68"/>
      <c r="I101" s="68"/>
      <c r="J101" s="68"/>
      <c r="M101" s="10"/>
      <c r="N101" s="2" t="s">
        <v>6</v>
      </c>
      <c r="O101" s="2">
        <f>IF(N101=G101,1,0)</f>
        <v>1</v>
      </c>
      <c r="P101" s="9">
        <f>IF(O101=1,1,"")</f>
        <v>1</v>
      </c>
      <c r="Q101" s="9">
        <f>IF(O101=1,IF(G97&gt;=R101,2,1),"")</f>
        <v>1</v>
      </c>
      <c r="R101" s="53">
        <v>1400</v>
      </c>
      <c r="S101" s="53">
        <v>-2.2857099999999998E-3</v>
      </c>
      <c r="T101" s="53">
        <v>10.8</v>
      </c>
      <c r="V101" s="53">
        <v>7.6</v>
      </c>
      <c r="W101" s="9">
        <f>G97*S101+T101</f>
        <v>8.5142900000000008</v>
      </c>
    </row>
    <row r="102" spans="1:24" s="2" customFormat="1" hidden="1" x14ac:dyDescent="0.3">
      <c r="A102" s="34"/>
      <c r="F102" s="9"/>
      <c r="G102" s="9"/>
      <c r="I102" s="9"/>
      <c r="J102" s="9"/>
      <c r="M102" s="35"/>
      <c r="N102" s="2" t="s">
        <v>4</v>
      </c>
      <c r="O102" s="2">
        <f>IF(N102=G101,1,0)</f>
        <v>0</v>
      </c>
      <c r="P102" s="9" t="str">
        <f>IF(O102=1,2,"")</f>
        <v/>
      </c>
      <c r="Q102" s="9" t="str">
        <f>IF(O102=1,IF(G97&gt;=R102,2,1),"")</f>
        <v/>
      </c>
      <c r="R102" s="53">
        <v>800</v>
      </c>
      <c r="S102" s="53">
        <v>-2.23077E-3</v>
      </c>
      <c r="T102" s="53">
        <v>8.9350000000000005</v>
      </c>
      <c r="U102" s="9"/>
      <c r="V102" s="53">
        <v>7.15</v>
      </c>
      <c r="W102" s="9">
        <f>G97*S102+T102</f>
        <v>6.7042300000000008</v>
      </c>
      <c r="X102" s="9"/>
    </row>
    <row r="103" spans="1:24" s="2" customFormat="1" hidden="1" x14ac:dyDescent="0.3">
      <c r="A103" s="34"/>
      <c r="F103" s="9"/>
      <c r="G103" s="9"/>
      <c r="I103" s="9"/>
      <c r="J103" s="9"/>
      <c r="M103" s="35"/>
      <c r="N103" s="2" t="s">
        <v>3</v>
      </c>
      <c r="O103" s="2">
        <f>IF(N103=G101,1,0)</f>
        <v>0</v>
      </c>
      <c r="P103" s="9" t="str">
        <f>IF(O103=1,3,"")</f>
        <v/>
      </c>
      <c r="Q103" s="9" t="str">
        <f>IF(O103=1,IF(G97&gt;=R103,2,1),"")</f>
        <v/>
      </c>
      <c r="R103" s="53">
        <v>800</v>
      </c>
      <c r="S103" s="53">
        <v>-2.1538400000000002E-3</v>
      </c>
      <c r="T103" s="53">
        <v>8</v>
      </c>
      <c r="U103" s="9"/>
      <c r="V103" s="53">
        <v>6.3</v>
      </c>
      <c r="W103" s="9">
        <f>G97*S103+T103</f>
        <v>5.8461599999999994</v>
      </c>
      <c r="X103" s="9"/>
    </row>
    <row r="104" spans="1:24" s="2" customFormat="1" ht="18" hidden="1" x14ac:dyDescent="0.35">
      <c r="A104" s="34"/>
      <c r="F104" s="36"/>
      <c r="G104" s="36"/>
      <c r="H104" s="36"/>
      <c r="I104" s="36"/>
      <c r="J104" s="36"/>
      <c r="M104" s="35"/>
      <c r="N104" s="48"/>
      <c r="O104" s="2">
        <f>SUM(O101:O103)</f>
        <v>1</v>
      </c>
      <c r="P104" s="9">
        <f>SUM(P101:P103)</f>
        <v>1</v>
      </c>
      <c r="Q104" s="9">
        <f>SUM(Q101:Q103)</f>
        <v>1</v>
      </c>
      <c r="R104" s="9"/>
      <c r="S104" s="9"/>
      <c r="T104" s="9"/>
      <c r="U104" s="9"/>
      <c r="V104" s="9"/>
      <c r="W104" s="9"/>
      <c r="X104" s="9"/>
    </row>
    <row r="105" spans="1:24" ht="8.25" customHeight="1" x14ac:dyDescent="0.3">
      <c r="A105" s="7"/>
      <c r="M105" s="10"/>
    </row>
    <row r="106" spans="1:24" x14ac:dyDescent="0.3">
      <c r="A106" s="7"/>
      <c r="H106" s="14" t="s">
        <v>73</v>
      </c>
      <c r="I106" s="26" t="str">
        <f>IF(G95=0,"- -",IF(O104=1,IF(AND(P104=1,Q104=1),V101,IF(AND(P104=1,Q104=2),W101,IF(AND(P104=2,Q104=1),V102,IF(AND(P104=2,Q104=2),W102,IF(AND(P104=3,Q104=1),V103,IF(AND(P104=3,Q104=2),W103,"Errore")))))),"- -"))</f>
        <v>- -</v>
      </c>
      <c r="J106" t="s">
        <v>5</v>
      </c>
      <c r="M106" s="10"/>
    </row>
    <row r="107" spans="1:24" x14ac:dyDescent="0.3">
      <c r="A107" s="7"/>
      <c r="H107" s="14" t="s">
        <v>74</v>
      </c>
      <c r="I107" s="26" t="str">
        <f>IF(G95=0,"- -",IF(O104=1,IF(S107&lt;0.2,0.2,S107),"- -"))</f>
        <v>- -</v>
      </c>
      <c r="J107" t="s">
        <v>5</v>
      </c>
      <c r="M107" s="10"/>
      <c r="P107" s="9" t="s">
        <v>15</v>
      </c>
      <c r="Q107" s="24">
        <f>IF(O84=1,Q84,IF(O85=1,Q85,IF(O86=1,Q86,IF(O87=1,Q87,IF(O88=1,Q88,IF(O89=1,Q89,IF(O90=1,Q90,IF(O91=1,Q91,IF(O91=1,Q91,IF(O92=1,Q92,IF(O93=1,Q93,"Errore!")))))))))))</f>
        <v>6</v>
      </c>
      <c r="R107" s="28" t="s">
        <v>16</v>
      </c>
      <c r="S107" s="9">
        <f>(G97/1000/Q107)^2*10.198</f>
        <v>0.28327777777777779</v>
      </c>
    </row>
    <row r="108" spans="1:24" ht="15.6" x14ac:dyDescent="0.3">
      <c r="A108" s="7"/>
      <c r="H108" s="15" t="s">
        <v>75</v>
      </c>
      <c r="I108" s="23" t="str">
        <f>IF(G95=0,"- -",IF(O104=1,I106-I107,"- -"))</f>
        <v>- -</v>
      </c>
      <c r="J108" s="16" t="s">
        <v>5</v>
      </c>
      <c r="K108" s="46"/>
      <c r="M108" s="10"/>
      <c r="N108" s="32"/>
    </row>
    <row r="109" spans="1:24" ht="9" customHeight="1" x14ac:dyDescent="0.3">
      <c r="A109" s="7"/>
      <c r="H109" s="15"/>
      <c r="I109" s="23"/>
      <c r="J109" s="16"/>
      <c r="M109" s="10"/>
      <c r="N109" s="32"/>
    </row>
    <row r="110" spans="1:24" ht="15.6" x14ac:dyDescent="0.3">
      <c r="A110" s="7"/>
      <c r="B110" s="13" t="str">
        <f>IF(G96&lt;=12,"Calcolo sottopavimento:","Calcolo sottopavimento non disponibile se Δt &gt; 12 K")</f>
        <v>Calcolo sottopavimento non disponibile se Δt &gt; 12 K</v>
      </c>
      <c r="H110" s="15"/>
      <c r="I110" s="23"/>
      <c r="J110" s="16"/>
      <c r="M110" s="10"/>
      <c r="N110" s="32"/>
      <c r="S110" s="54" t="s">
        <v>19</v>
      </c>
    </row>
    <row r="111" spans="1:24" ht="9" customHeight="1" x14ac:dyDescent="0.3">
      <c r="A111" s="7"/>
      <c r="H111" s="15"/>
      <c r="I111" s="23"/>
      <c r="J111" s="16"/>
      <c r="M111" s="10"/>
      <c r="N111" s="32"/>
    </row>
    <row r="112" spans="1:24" x14ac:dyDescent="0.3">
      <c r="A112" s="7"/>
      <c r="B112" t="s">
        <v>76</v>
      </c>
      <c r="F112" s="14"/>
      <c r="G112" s="62" t="s">
        <v>24</v>
      </c>
      <c r="I112" s="38" t="str">
        <f>IF(G96&gt;12,"","Utilizzare Δt =")</f>
        <v/>
      </c>
      <c r="J112" s="16" t="str">
        <f>IF(G96&gt;12,"",IF(G112=N112,P112,IF(G112=N113,P113,IF(G112=N114,P114,""))))</f>
        <v/>
      </c>
      <c r="M112" s="10"/>
      <c r="N112" s="24" t="s">
        <v>23</v>
      </c>
      <c r="O112" s="2">
        <f>IF(N112=G112,1,0)</f>
        <v>0</v>
      </c>
      <c r="P112" s="9" t="s">
        <v>20</v>
      </c>
      <c r="Q112" s="31">
        <f>T112*S112</f>
        <v>34.375</v>
      </c>
      <c r="R112" s="24" t="s">
        <v>17</v>
      </c>
      <c r="S112" s="53">
        <v>1.375</v>
      </c>
      <c r="T112" s="42">
        <v>25</v>
      </c>
      <c r="U112" s="27"/>
      <c r="V112" s="24" t="s">
        <v>17</v>
      </c>
    </row>
    <row r="113" spans="1:24" s="2" customFormat="1" ht="15.6" hidden="1" x14ac:dyDescent="0.3">
      <c r="A113" s="34"/>
      <c r="F113" s="27"/>
      <c r="G113" s="39"/>
      <c r="H113" s="40"/>
      <c r="I113" s="39"/>
      <c r="J113" s="32"/>
      <c r="M113" s="35"/>
      <c r="N113" s="24" t="s">
        <v>24</v>
      </c>
      <c r="O113" s="2">
        <f>IF(N113=G112,1,0)</f>
        <v>1</v>
      </c>
      <c r="P113" s="9" t="s">
        <v>21</v>
      </c>
      <c r="Q113" s="31">
        <f>T113*S113</f>
        <v>110</v>
      </c>
      <c r="R113" s="24" t="s">
        <v>17</v>
      </c>
      <c r="S113" s="53">
        <v>1.375</v>
      </c>
      <c r="T113" s="43">
        <v>80</v>
      </c>
      <c r="U113" s="31"/>
      <c r="V113" s="24" t="s">
        <v>17</v>
      </c>
      <c r="W113" s="9"/>
      <c r="X113" s="9"/>
    </row>
    <row r="114" spans="1:24" s="2" customFormat="1" ht="15.6" hidden="1" x14ac:dyDescent="0.3">
      <c r="A114" s="34"/>
      <c r="F114" s="27"/>
      <c r="G114" s="39"/>
      <c r="H114" s="40"/>
      <c r="I114" s="39"/>
      <c r="J114" s="32"/>
      <c r="M114" s="35"/>
      <c r="N114" s="24" t="s">
        <v>25</v>
      </c>
      <c r="O114" s="2">
        <f>IF(N114=G112,1,0)</f>
        <v>0</v>
      </c>
      <c r="P114" s="9" t="s">
        <v>22</v>
      </c>
      <c r="Q114" s="31">
        <f>T114*S114</f>
        <v>192.5</v>
      </c>
      <c r="R114" s="24" t="s">
        <v>17</v>
      </c>
      <c r="S114" s="53">
        <v>1.375</v>
      </c>
      <c r="T114" s="42">
        <v>140</v>
      </c>
      <c r="U114" s="27"/>
      <c r="V114" s="24" t="s">
        <v>17</v>
      </c>
      <c r="W114" s="9"/>
      <c r="X114" s="9"/>
    </row>
    <row r="115" spans="1:24" s="2" customFormat="1" ht="18" hidden="1" x14ac:dyDescent="0.35">
      <c r="A115" s="34"/>
      <c r="F115" s="36"/>
      <c r="G115" s="36"/>
      <c r="H115" s="36"/>
      <c r="I115" s="36"/>
      <c r="J115" s="36"/>
      <c r="M115" s="35"/>
      <c r="N115" s="48"/>
      <c r="O115" s="2">
        <f>SUM(O112:O114)</f>
        <v>1</v>
      </c>
      <c r="P115" s="9">
        <f>SUM(P112:P114)</f>
        <v>0</v>
      </c>
      <c r="Q115" s="27"/>
      <c r="R115" s="9"/>
      <c r="S115" s="9"/>
      <c r="T115" s="9"/>
      <c r="U115" s="9"/>
      <c r="V115" s="9"/>
      <c r="W115" s="9"/>
      <c r="X115" s="9"/>
    </row>
    <row r="116" spans="1:24" ht="9" customHeight="1" x14ac:dyDescent="0.3">
      <c r="A116" s="7"/>
      <c r="H116" s="15"/>
      <c r="I116" s="23"/>
      <c r="J116" s="16"/>
      <c r="M116" s="10"/>
      <c r="N116" s="32"/>
    </row>
    <row r="117" spans="1:24" ht="44.25" customHeight="1" x14ac:dyDescent="0.3">
      <c r="A117" s="7"/>
      <c r="B117" s="65" t="str">
        <f>IF(G96&gt;12,"","Superficie massima dell'impianto sottopavimento gestibile da ciascun modulo, con un salto termico proporzionato alla classe d'isolamento termico selezionata:")</f>
        <v/>
      </c>
      <c r="C117" s="65"/>
      <c r="D117" s="65"/>
      <c r="E117" s="65"/>
      <c r="F117" s="65"/>
      <c r="G117" s="65"/>
      <c r="H117" s="65"/>
      <c r="I117" s="52" t="str">
        <f>IF(G96&gt;12,"",IF(G95=0,"- -",IF(G96&lt;=12,IF(O112=1,E99*1000/Q112,IF(O113=1,E99*1000/Q113,IF(O114=1,E99*1000/Q114,"- -"))),"- - ")))</f>
        <v/>
      </c>
      <c r="J117" s="29" t="str">
        <f>IF(G96&gt;12,"","m2")</f>
        <v/>
      </c>
      <c r="M117" s="10"/>
      <c r="N117" s="50"/>
      <c r="Q117" s="27"/>
    </row>
    <row r="118" spans="1:24" ht="10.5" customHeight="1" x14ac:dyDescent="0.3">
      <c r="A118" s="17"/>
      <c r="B118" s="18"/>
      <c r="C118" s="18"/>
      <c r="D118" s="18"/>
      <c r="E118" s="18"/>
      <c r="F118" s="19"/>
      <c r="G118" s="18"/>
      <c r="H118" s="18"/>
      <c r="I118" s="19"/>
      <c r="J118" s="19"/>
      <c r="K118" s="18"/>
      <c r="L118" s="18"/>
      <c r="M118" s="20"/>
    </row>
    <row r="119" spans="1:24" ht="11.25" customHeight="1" x14ac:dyDescent="0.3"/>
    <row r="120" spans="1:24" ht="10.5" customHeight="1" x14ac:dyDescent="0.3">
      <c r="A120" s="3"/>
      <c r="B120" s="4"/>
      <c r="C120" s="4"/>
      <c r="D120" s="4"/>
      <c r="E120" s="4"/>
      <c r="F120" s="5"/>
      <c r="G120" s="4"/>
      <c r="H120" s="4"/>
      <c r="I120" s="5"/>
      <c r="J120" s="5"/>
      <c r="K120" s="4"/>
      <c r="L120" s="4"/>
      <c r="M120" s="6"/>
    </row>
    <row r="121" spans="1:24" ht="18.75" customHeight="1" x14ac:dyDescent="0.3">
      <c r="A121" s="7"/>
      <c r="B121" s="63" t="s">
        <v>61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"/>
      <c r="N121" s="32"/>
    </row>
    <row r="122" spans="1:24" ht="30" customHeight="1" x14ac:dyDescent="0.3">
      <c r="A122" s="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10"/>
      <c r="N122" s="32"/>
    </row>
    <row r="123" spans="1:24" ht="30" customHeight="1" x14ac:dyDescent="0.3">
      <c r="A123" s="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10"/>
      <c r="N123" s="32"/>
    </row>
    <row r="124" spans="1:24" ht="30" customHeight="1" x14ac:dyDescent="0.3">
      <c r="A124" s="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10"/>
      <c r="N124" s="32"/>
    </row>
    <row r="125" spans="1:24" ht="10.5" customHeight="1" x14ac:dyDescent="0.3">
      <c r="A125" s="17"/>
      <c r="B125" s="18"/>
      <c r="C125" s="18"/>
      <c r="D125" s="18"/>
      <c r="E125" s="18"/>
      <c r="F125" s="19"/>
      <c r="G125" s="18"/>
      <c r="H125" s="18"/>
      <c r="I125" s="19"/>
      <c r="J125" s="19"/>
      <c r="K125" s="18"/>
      <c r="L125" s="18"/>
      <c r="M125" s="20"/>
    </row>
  </sheetData>
  <sheetProtection algorithmName="SHA-512" hashValue="cGxYK0QKpUyJHxwg4T8w1nspqcYeFuk4ylKIU27jcmia7pYau6xxWp5iB0a/qCGCdsyUvWm9n9K35DhKkpI5vw==" saltValue="yCTRFlR6P6+GRmpZevPiLw==" spinCount="100000" sheet="1" objects="1" scenarios="1" selectLockedCells="1"/>
  <dataConsolidate/>
  <mergeCells count="29">
    <mergeCell ref="V7:V8"/>
    <mergeCell ref="B1:L1"/>
    <mergeCell ref="S5:U5"/>
    <mergeCell ref="V5:X5"/>
    <mergeCell ref="S6:U6"/>
    <mergeCell ref="V6:X6"/>
    <mergeCell ref="B2:L2"/>
    <mergeCell ref="W7:W8"/>
    <mergeCell ref="G101:J101"/>
    <mergeCell ref="X7:X8"/>
    <mergeCell ref="G10:J10"/>
    <mergeCell ref="H21:L21"/>
    <mergeCell ref="G27:J27"/>
    <mergeCell ref="B43:H43"/>
    <mergeCell ref="G47:J47"/>
    <mergeCell ref="H58:L58"/>
    <mergeCell ref="G64:J64"/>
    <mergeCell ref="B80:H80"/>
    <mergeCell ref="G84:J84"/>
    <mergeCell ref="H95:L95"/>
    <mergeCell ref="R7:R8"/>
    <mergeCell ref="S7:S8"/>
    <mergeCell ref="T7:T8"/>
    <mergeCell ref="U7:U8"/>
    <mergeCell ref="B117:H117"/>
    <mergeCell ref="C121:L121"/>
    <mergeCell ref="B122:L122"/>
    <mergeCell ref="B123:L123"/>
    <mergeCell ref="B124:L124"/>
  </mergeCells>
  <conditionalFormatting sqref="I34">
    <cfRule type="cellIs" dxfId="39" priority="10" operator="lessThan">
      <formula>0.5</formula>
    </cfRule>
  </conditionalFormatting>
  <conditionalFormatting sqref="K5">
    <cfRule type="cellIs" dxfId="38" priority="9" operator="greaterThan">
      <formula>50</formula>
    </cfRule>
  </conditionalFormatting>
  <conditionalFormatting sqref="I71">
    <cfRule type="cellIs" dxfId="37" priority="8" operator="lessThan">
      <formula>0.5</formula>
    </cfRule>
  </conditionalFormatting>
  <conditionalFormatting sqref="I108">
    <cfRule type="cellIs" dxfId="36" priority="7" operator="lessThan">
      <formula>0.5</formula>
    </cfRule>
  </conditionalFormatting>
  <conditionalFormatting sqref="E25:F25">
    <cfRule type="expression" dxfId="35" priority="5" stopIfTrue="1">
      <formula>$N$25&gt;=0.1</formula>
    </cfRule>
    <cfRule type="expression" dxfId="34" priority="6">
      <formula>$N$25&gt;0</formula>
    </cfRule>
  </conditionalFormatting>
  <conditionalFormatting sqref="E62:F62">
    <cfRule type="expression" dxfId="33" priority="3" stopIfTrue="1">
      <formula>$N$62&gt;=0.1</formula>
    </cfRule>
    <cfRule type="expression" dxfId="32" priority="4">
      <formula>$N$62&gt;0</formula>
    </cfRule>
  </conditionalFormatting>
  <conditionalFormatting sqref="E99:F99">
    <cfRule type="expression" dxfId="31" priority="1" stopIfTrue="1">
      <formula>$N$99&gt;=0.1</formula>
    </cfRule>
    <cfRule type="expression" dxfId="30" priority="2">
      <formula>$N$99&gt;0</formula>
    </cfRule>
  </conditionalFormatting>
  <dataValidations count="4">
    <dataValidation type="list" allowBlank="1" showInputMessage="1" showErrorMessage="1" sqref="G21 G95 G58" xr:uid="{00000000-0002-0000-0000-000000000000}">
      <formula1>$O$21:$O$24</formula1>
    </dataValidation>
    <dataValidation type="list" allowBlank="1" showErrorMessage="1" sqref="G10:J10 G47:J47 G84:J84" xr:uid="{00000000-0002-0000-0000-000001000000}">
      <formula1>N10:N19</formula1>
    </dataValidation>
    <dataValidation type="list" allowBlank="1" showInputMessage="1" showErrorMessage="1" promptTitle="Scegliere un circolatore" sqref="G27:J27 G101:J101 G64:J64" xr:uid="{00000000-0002-0000-0000-000002000000}">
      <formula1>$N$27:$N$29</formula1>
    </dataValidation>
    <dataValidation type="list" allowBlank="1" showInputMessage="1" showErrorMessage="1" sqref="G38 G112 G75" xr:uid="{00000000-0002-0000-0000-000003000000}">
      <formula1>$N$38:$N$40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5"/>
  <sheetViews>
    <sheetView workbookViewId="0">
      <selection activeCell="G10" sqref="G10:J10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bestFit="1" customWidth="1"/>
    <col min="12" max="12" width="3.88671875" bestFit="1" customWidth="1"/>
    <col min="13" max="13" width="1.44140625" customWidth="1"/>
    <col min="14" max="14" width="34.5546875" style="2" hidden="1" customWidth="1"/>
    <col min="15" max="15" width="4" style="2" hidden="1" customWidth="1"/>
    <col min="16" max="16" width="11.33203125" style="9" hidden="1" customWidth="1"/>
    <col min="17" max="17" width="12.44140625" style="9" hidden="1" customWidth="1"/>
    <col min="18" max="21" width="11.33203125" style="9" hidden="1" customWidth="1"/>
    <col min="22" max="24" width="14.109375" style="9" hidden="1" customWidth="1"/>
  </cols>
  <sheetData>
    <row r="1" spans="1:24" ht="75.75" customHeight="1" x14ac:dyDescent="0.35">
      <c r="A1" s="3"/>
      <c r="B1" s="74" t="s">
        <v>96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6"/>
    </row>
    <row r="2" spans="1:24" ht="321.75" customHeight="1" x14ac:dyDescent="0.3">
      <c r="A2" s="1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20"/>
    </row>
    <row r="3" spans="1:24" ht="11.25" customHeight="1" x14ac:dyDescent="0.3"/>
    <row r="4" spans="1:24" ht="10.5" customHeight="1" x14ac:dyDescent="0.3">
      <c r="A4" s="3"/>
      <c r="B4" s="4"/>
      <c r="C4" s="4"/>
      <c r="D4" s="4"/>
      <c r="E4" s="4"/>
      <c r="F4" s="5"/>
      <c r="G4" s="4"/>
      <c r="H4" s="4"/>
      <c r="I4" s="5"/>
      <c r="J4" s="5"/>
      <c r="K4" s="4"/>
      <c r="L4" s="4"/>
      <c r="M4" s="6"/>
    </row>
    <row r="5" spans="1:24" x14ac:dyDescent="0.3">
      <c r="A5" s="7"/>
      <c r="B5" s="21" t="s">
        <v>93</v>
      </c>
      <c r="K5" s="30">
        <f>SUM(K8:K450)</f>
        <v>0</v>
      </c>
      <c r="L5" s="21" t="s">
        <v>0</v>
      </c>
      <c r="M5" s="10"/>
      <c r="R5" s="55" t="s">
        <v>43</v>
      </c>
      <c r="S5" s="72" t="s">
        <v>39</v>
      </c>
      <c r="T5" s="72"/>
      <c r="U5" s="72"/>
      <c r="V5" s="75" t="s">
        <v>41</v>
      </c>
      <c r="W5" s="75"/>
      <c r="X5" s="75"/>
    </row>
    <row r="6" spans="1:24" x14ac:dyDescent="0.3">
      <c r="A6" s="7"/>
      <c r="B6" t="s">
        <v>79</v>
      </c>
      <c r="M6" s="10"/>
      <c r="R6" s="55" t="s">
        <v>45</v>
      </c>
      <c r="S6" s="72" t="s">
        <v>40</v>
      </c>
      <c r="T6" s="72"/>
      <c r="U6" s="72"/>
      <c r="V6" s="75" t="s">
        <v>42</v>
      </c>
      <c r="W6" s="75"/>
      <c r="X6" s="75"/>
    </row>
    <row r="7" spans="1:24" ht="10.5" customHeight="1" x14ac:dyDescent="0.3">
      <c r="A7" s="17"/>
      <c r="B7" s="18"/>
      <c r="C7" s="18"/>
      <c r="D7" s="18"/>
      <c r="E7" s="18"/>
      <c r="F7" s="19"/>
      <c r="G7" s="18"/>
      <c r="H7" s="18"/>
      <c r="I7" s="19"/>
      <c r="J7" s="19"/>
      <c r="K7" s="18"/>
      <c r="L7" s="18"/>
      <c r="M7" s="20"/>
      <c r="R7" s="72" t="s">
        <v>44</v>
      </c>
      <c r="S7" s="73" t="s">
        <v>36</v>
      </c>
      <c r="T7" s="73" t="s">
        <v>37</v>
      </c>
      <c r="U7" s="73" t="s">
        <v>38</v>
      </c>
      <c r="V7" s="69" t="s">
        <v>36</v>
      </c>
      <c r="W7" s="69" t="s">
        <v>37</v>
      </c>
      <c r="X7" s="69" t="s">
        <v>38</v>
      </c>
    </row>
    <row r="8" spans="1:24" ht="11.25" customHeight="1" x14ac:dyDescent="0.3">
      <c r="R8" s="72"/>
      <c r="S8" s="73"/>
      <c r="T8" s="73"/>
      <c r="U8" s="73"/>
      <c r="V8" s="69"/>
      <c r="W8" s="69"/>
      <c r="X8" s="69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4"/>
      <c r="L9" s="4"/>
      <c r="M9" s="6"/>
      <c r="Q9" s="53"/>
      <c r="R9" s="44"/>
      <c r="S9" s="44"/>
      <c r="T9" s="44"/>
      <c r="U9" s="44"/>
    </row>
    <row r="10" spans="1:24" ht="15.6" x14ac:dyDescent="0.3">
      <c r="A10" s="7"/>
      <c r="B10" s="8" t="s">
        <v>80</v>
      </c>
      <c r="G10" s="70" t="s">
        <v>33</v>
      </c>
      <c r="H10" s="70"/>
      <c r="I10" s="70"/>
      <c r="J10" s="70"/>
      <c r="M10" s="10"/>
      <c r="N10" s="47" t="s">
        <v>33</v>
      </c>
      <c r="O10" s="2">
        <f>IF(G10=N10,1,0)</f>
        <v>1</v>
      </c>
      <c r="P10" s="9" t="s">
        <v>15</v>
      </c>
      <c r="Q10" s="41">
        <v>6</v>
      </c>
      <c r="R10" s="44">
        <v>4.0999999999999996</v>
      </c>
      <c r="S10" s="44">
        <v>2284</v>
      </c>
      <c r="T10" s="44">
        <v>1770</v>
      </c>
      <c r="U10" s="44">
        <v>1511</v>
      </c>
      <c r="V10" s="45">
        <f>S10*$G22/860</f>
        <v>53.116279069767444</v>
      </c>
      <c r="W10" s="45">
        <f>T10*$G22/860</f>
        <v>41.162790697674417</v>
      </c>
      <c r="X10" s="45">
        <f>U10*$G22/860</f>
        <v>35.139534883720927</v>
      </c>
    </row>
    <row r="11" spans="1:24" s="2" customFormat="1" ht="15.6" hidden="1" x14ac:dyDescent="0.3">
      <c r="A11" s="34"/>
      <c r="B11" s="37"/>
      <c r="F11" s="9"/>
      <c r="G11" s="9"/>
      <c r="I11" s="9"/>
      <c r="J11" s="9"/>
      <c r="M11" s="35"/>
      <c r="N11" s="47" t="s">
        <v>34</v>
      </c>
      <c r="O11" s="2">
        <f>IF(G10=N11,1,0)</f>
        <v>0</v>
      </c>
      <c r="P11" s="9" t="s">
        <v>15</v>
      </c>
      <c r="Q11" s="41">
        <v>2.7</v>
      </c>
      <c r="R11" s="44">
        <v>5</v>
      </c>
      <c r="S11" s="44">
        <v>1363</v>
      </c>
      <c r="T11" s="44">
        <v>1060</v>
      </c>
      <c r="U11" s="44">
        <v>885</v>
      </c>
      <c r="V11" s="45">
        <f>S11*$G22/860</f>
        <v>31.697674418604652</v>
      </c>
      <c r="W11" s="45">
        <f>T11*$G22/860</f>
        <v>24.651162790697676</v>
      </c>
      <c r="X11" s="45">
        <f>U11*$G22/860</f>
        <v>20.581395348837209</v>
      </c>
    </row>
    <row r="12" spans="1:24" s="2" customFormat="1" ht="15.6" hidden="1" x14ac:dyDescent="0.3">
      <c r="A12" s="34"/>
      <c r="B12" s="37"/>
      <c r="F12" s="9"/>
      <c r="G12" s="9"/>
      <c r="I12" s="9"/>
      <c r="J12" s="9"/>
      <c r="M12" s="35"/>
      <c r="N12" s="47" t="s">
        <v>35</v>
      </c>
      <c r="O12" s="2">
        <f>IF(G10=N12,1,0)</f>
        <v>0</v>
      </c>
      <c r="P12" s="9" t="s">
        <v>15</v>
      </c>
      <c r="Q12" s="41">
        <v>3.8</v>
      </c>
      <c r="R12" s="44">
        <v>5</v>
      </c>
      <c r="S12" s="44">
        <v>1673</v>
      </c>
      <c r="T12" s="44">
        <v>1261</v>
      </c>
      <c r="U12" s="44">
        <v>1039</v>
      </c>
      <c r="V12" s="45">
        <f>S12*$G22/860</f>
        <v>38.906976744186046</v>
      </c>
      <c r="W12" s="45">
        <f>T12*$G22/860</f>
        <v>29.325581395348838</v>
      </c>
      <c r="X12" s="45">
        <f>U12*$G22/860</f>
        <v>24.162790697674417</v>
      </c>
    </row>
    <row r="13" spans="1:24" s="2" customFormat="1" ht="15.6" hidden="1" x14ac:dyDescent="0.3">
      <c r="A13" s="34"/>
      <c r="B13" s="37"/>
      <c r="F13" s="9"/>
      <c r="G13" s="9"/>
      <c r="I13" s="9"/>
      <c r="J13" s="9"/>
      <c r="M13" s="35"/>
      <c r="N13" s="47" t="s">
        <v>26</v>
      </c>
      <c r="O13" s="2">
        <f>IF(G10=N13,1,0)</f>
        <v>0</v>
      </c>
      <c r="P13" s="9" t="s">
        <v>15</v>
      </c>
      <c r="Q13" s="41">
        <v>4</v>
      </c>
      <c r="R13" s="44">
        <v>4.5</v>
      </c>
      <c r="S13" s="44">
        <v>1826</v>
      </c>
      <c r="T13" s="44">
        <v>1416</v>
      </c>
      <c r="U13" s="44">
        <v>1199</v>
      </c>
      <c r="V13" s="45">
        <f>S13*$G22/860</f>
        <v>42.465116279069768</v>
      </c>
      <c r="W13" s="45">
        <f>T13*$G22/860</f>
        <v>32.930232558139537</v>
      </c>
      <c r="X13" s="45">
        <f>U13*$G22/860</f>
        <v>27.88372093023256</v>
      </c>
    </row>
    <row r="14" spans="1:24" s="2" customFormat="1" ht="15.6" hidden="1" x14ac:dyDescent="0.3">
      <c r="A14" s="34"/>
      <c r="B14" s="37"/>
      <c r="F14" s="9"/>
      <c r="G14" s="9"/>
      <c r="I14" s="9"/>
      <c r="J14" s="9"/>
      <c r="M14" s="35"/>
      <c r="N14" s="47" t="s">
        <v>27</v>
      </c>
      <c r="O14" s="2">
        <f>IF(G10=N14,1,0)</f>
        <v>0</v>
      </c>
      <c r="P14" s="9" t="s">
        <v>15</v>
      </c>
      <c r="Q14" s="41">
        <v>5.5</v>
      </c>
      <c r="R14" s="44">
        <v>4.5</v>
      </c>
      <c r="S14" s="44">
        <v>1950</v>
      </c>
      <c r="T14" s="44">
        <v>1601</v>
      </c>
      <c r="U14" s="44">
        <v>1343</v>
      </c>
      <c r="V14" s="45">
        <f>S14*$G22/860</f>
        <v>45.348837209302324</v>
      </c>
      <c r="W14" s="45">
        <f t="shared" ref="W14:X14" si="0">T14*$G22/860</f>
        <v>37.232558139534881</v>
      </c>
      <c r="X14" s="45">
        <f t="shared" si="0"/>
        <v>31.232558139534884</v>
      </c>
    </row>
    <row r="15" spans="1:24" s="2" customFormat="1" ht="15.6" hidden="1" x14ac:dyDescent="0.3">
      <c r="A15" s="34"/>
      <c r="B15" s="37"/>
      <c r="F15" s="9"/>
      <c r="G15" s="9"/>
      <c r="I15" s="9"/>
      <c r="J15" s="9"/>
      <c r="M15" s="35"/>
      <c r="N15" s="47" t="s">
        <v>28</v>
      </c>
      <c r="O15" s="2">
        <f>IF(G10=N15,1,0)</f>
        <v>0</v>
      </c>
      <c r="P15" s="9" t="s">
        <v>15</v>
      </c>
      <c r="Q15" s="41">
        <v>2</v>
      </c>
      <c r="R15" s="44">
        <v>5</v>
      </c>
      <c r="S15" s="44">
        <v>1010</v>
      </c>
      <c r="T15" s="44">
        <v>880</v>
      </c>
      <c r="U15" s="44">
        <v>714</v>
      </c>
      <c r="V15" s="45">
        <f>S15*$G22/860</f>
        <v>23.488372093023255</v>
      </c>
      <c r="W15" s="45">
        <f t="shared" ref="W15:X15" si="1">T15*$G22/860</f>
        <v>20.465116279069768</v>
      </c>
      <c r="X15" s="45">
        <f t="shared" si="1"/>
        <v>16.604651162790699</v>
      </c>
    </row>
    <row r="16" spans="1:24" s="2" customFormat="1" ht="15.6" hidden="1" x14ac:dyDescent="0.3">
      <c r="A16" s="34"/>
      <c r="B16" s="37"/>
      <c r="F16" s="9"/>
      <c r="G16" s="9"/>
      <c r="I16" s="9"/>
      <c r="J16" s="9"/>
      <c r="M16" s="35"/>
      <c r="N16" s="47" t="s">
        <v>29</v>
      </c>
      <c r="O16" s="2">
        <f>IF(G10=N16,1,0)</f>
        <v>0</v>
      </c>
      <c r="P16" s="9" t="s">
        <v>15</v>
      </c>
      <c r="Q16" s="41">
        <v>2.4</v>
      </c>
      <c r="R16" s="44">
        <v>5</v>
      </c>
      <c r="S16" s="44">
        <v>1212</v>
      </c>
      <c r="T16" s="44">
        <v>989</v>
      </c>
      <c r="U16" s="44">
        <v>829</v>
      </c>
      <c r="V16" s="45">
        <f>S16*$G22/860</f>
        <v>28.186046511627907</v>
      </c>
      <c r="W16" s="45">
        <f t="shared" ref="W16:X16" si="2">T16*$G22/860</f>
        <v>23</v>
      </c>
      <c r="X16" s="45">
        <f t="shared" si="2"/>
        <v>19.279069767441861</v>
      </c>
    </row>
    <row r="17" spans="1:24" s="2" customFormat="1" ht="15.6" hidden="1" x14ac:dyDescent="0.3">
      <c r="A17" s="34"/>
      <c r="B17" s="37"/>
      <c r="F17" s="9"/>
      <c r="G17" s="9"/>
      <c r="I17" s="9"/>
      <c r="J17" s="9"/>
      <c r="M17" s="35"/>
      <c r="N17" s="47" t="s">
        <v>30</v>
      </c>
      <c r="O17" s="2">
        <f>IF(G10=N17,1,0)</f>
        <v>0</v>
      </c>
      <c r="P17" s="9" t="s">
        <v>15</v>
      </c>
      <c r="Q17" s="41">
        <v>3.1</v>
      </c>
      <c r="R17" s="44">
        <v>5</v>
      </c>
      <c r="S17" s="44">
        <v>1497</v>
      </c>
      <c r="T17" s="44">
        <v>1143</v>
      </c>
      <c r="U17" s="44">
        <v>949</v>
      </c>
      <c r="V17" s="45">
        <f>S17*$G22/860</f>
        <v>34.813953488372093</v>
      </c>
      <c r="W17" s="45">
        <f t="shared" ref="W17:X17" si="3">T17*$G22/860</f>
        <v>26.581395348837209</v>
      </c>
      <c r="X17" s="45">
        <f t="shared" si="3"/>
        <v>22.069767441860463</v>
      </c>
    </row>
    <row r="18" spans="1:24" s="2" customFormat="1" ht="15.6" hidden="1" x14ac:dyDescent="0.3">
      <c r="A18" s="34"/>
      <c r="B18" s="37"/>
      <c r="F18" s="9"/>
      <c r="G18" s="9"/>
      <c r="I18" s="9"/>
      <c r="J18" s="9"/>
      <c r="M18" s="35"/>
      <c r="N18" s="47" t="s">
        <v>31</v>
      </c>
      <c r="O18" s="2">
        <f>IF(G10=N18,1,0)</f>
        <v>0</v>
      </c>
      <c r="P18" s="9" t="s">
        <v>15</v>
      </c>
      <c r="Q18" s="41">
        <v>1.7</v>
      </c>
      <c r="R18" s="44">
        <v>5</v>
      </c>
      <c r="S18" s="44">
        <v>858</v>
      </c>
      <c r="T18" s="44">
        <v>781</v>
      </c>
      <c r="U18" s="44">
        <v>607</v>
      </c>
      <c r="V18" s="45">
        <f>S18*$G22/860</f>
        <v>19.953488372093023</v>
      </c>
      <c r="W18" s="45">
        <f t="shared" ref="W18:X18" si="4">T18*$G22/860</f>
        <v>18.162790697674417</v>
      </c>
      <c r="X18" s="45">
        <f t="shared" si="4"/>
        <v>14.116279069767442</v>
      </c>
    </row>
    <row r="19" spans="1:24" s="2" customFormat="1" ht="15.6" hidden="1" x14ac:dyDescent="0.3">
      <c r="A19" s="34"/>
      <c r="B19" s="37"/>
      <c r="F19" s="9"/>
      <c r="G19" s="9"/>
      <c r="I19" s="9"/>
      <c r="J19" s="9"/>
      <c r="M19" s="35"/>
      <c r="N19" s="47" t="s">
        <v>32</v>
      </c>
      <c r="O19" s="2">
        <f>IF(G10=N19,1,0)</f>
        <v>0</v>
      </c>
      <c r="P19" s="9" t="s">
        <v>15</v>
      </c>
      <c r="Q19" s="41">
        <v>1.9</v>
      </c>
      <c r="R19" s="44">
        <v>5</v>
      </c>
      <c r="S19" s="44">
        <v>1000</v>
      </c>
      <c r="T19" s="44">
        <v>850</v>
      </c>
      <c r="U19" s="44">
        <v>678</v>
      </c>
      <c r="V19" s="45">
        <f>S19*$G22/860</f>
        <v>23.255813953488371</v>
      </c>
      <c r="W19" s="45">
        <f t="shared" ref="W19:X19" si="5">T19*$G22/860</f>
        <v>19.767441860465116</v>
      </c>
      <c r="X19" s="45">
        <f t="shared" si="5"/>
        <v>15.767441860465116</v>
      </c>
    </row>
    <row r="20" spans="1:24" ht="8.25" customHeight="1" x14ac:dyDescent="0.35">
      <c r="A20" s="7"/>
      <c r="F20" s="33"/>
      <c r="G20" s="33"/>
      <c r="H20" s="33"/>
      <c r="I20" s="33"/>
      <c r="J20" s="33"/>
      <c r="M20" s="10"/>
      <c r="N20" s="48"/>
    </row>
    <row r="21" spans="1:24" x14ac:dyDescent="0.3">
      <c r="A21" s="7"/>
      <c r="B21" t="s">
        <v>83</v>
      </c>
      <c r="G21" s="61">
        <v>0</v>
      </c>
      <c r="H21" s="77" t="str">
        <f>IF(G21+G58+G95&gt;3,"Maximum number of pump units in total = 3","")</f>
        <v/>
      </c>
      <c r="I21" s="77"/>
      <c r="J21" s="77"/>
      <c r="K21" s="77"/>
      <c r="L21" s="77"/>
      <c r="M21" s="10"/>
      <c r="O21" s="2">
        <v>0</v>
      </c>
    </row>
    <row r="22" spans="1:24" x14ac:dyDescent="0.3">
      <c r="A22" s="7"/>
      <c r="B22" t="s">
        <v>94</v>
      </c>
      <c r="G22" s="61">
        <v>20</v>
      </c>
      <c r="H22" t="s">
        <v>1</v>
      </c>
      <c r="M22" s="10"/>
      <c r="N22" s="49"/>
      <c r="O22" s="2">
        <v>1</v>
      </c>
    </row>
    <row r="23" spans="1:24" ht="15.6" x14ac:dyDescent="0.3">
      <c r="A23" s="7"/>
      <c r="B23" t="s">
        <v>84</v>
      </c>
      <c r="G23" s="61">
        <v>1000</v>
      </c>
      <c r="H23" s="22" t="s">
        <v>2</v>
      </c>
      <c r="I23" s="8"/>
      <c r="J23" s="8"/>
      <c r="K23" s="51"/>
      <c r="L23" s="25"/>
      <c r="M23" s="10"/>
      <c r="N23" s="49"/>
      <c r="O23" s="2">
        <v>2</v>
      </c>
      <c r="P23" s="54"/>
      <c r="Q23" s="11"/>
      <c r="R23" s="11"/>
      <c r="S23" s="11"/>
      <c r="T23" s="11"/>
      <c r="U23" s="11"/>
      <c r="V23" s="11"/>
      <c r="W23" s="11"/>
      <c r="X23" s="11"/>
    </row>
    <row r="24" spans="1:24" x14ac:dyDescent="0.3">
      <c r="A24" s="7"/>
      <c r="L24" s="12" t="s">
        <v>85</v>
      </c>
      <c r="M24" s="10"/>
      <c r="N24" s="49"/>
      <c r="O24" s="2">
        <v>3</v>
      </c>
    </row>
    <row r="25" spans="1:24" ht="15.6" x14ac:dyDescent="0.3">
      <c r="A25" s="7"/>
      <c r="B25" s="13" t="s">
        <v>86</v>
      </c>
      <c r="E25" s="30" t="str">
        <f>IF(G21=0,"- -",G23*G22/860)</f>
        <v>- -</v>
      </c>
      <c r="F25" s="21" t="s">
        <v>0</v>
      </c>
      <c r="H25" s="64" t="s">
        <v>88</v>
      </c>
      <c r="I25" s="56" t="str">
        <f>IF(G21=0,"- -",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)</f>
        <v>- -</v>
      </c>
      <c r="J25" s="59" t="s">
        <v>18</v>
      </c>
      <c r="K25" s="30" t="str">
        <f>IF(G21=0,"- -",G21*E25)</f>
        <v>- -</v>
      </c>
      <c r="L25" s="21" t="s">
        <v>0</v>
      </c>
      <c r="M25" s="10"/>
      <c r="N25" s="57" t="e">
        <f>E25/I25-1</f>
        <v>#VALUE!</v>
      </c>
      <c r="P25" s="28"/>
      <c r="Q25" s="24"/>
      <c r="S25" s="54" t="s">
        <v>13</v>
      </c>
      <c r="T25" s="54" t="s">
        <v>14</v>
      </c>
      <c r="U25" s="54"/>
    </row>
    <row r="26" spans="1:24" x14ac:dyDescent="0.3">
      <c r="A26" s="7"/>
      <c r="M26" s="10"/>
      <c r="P26" s="54" t="s">
        <v>11</v>
      </c>
      <c r="Q26" s="54" t="s">
        <v>10</v>
      </c>
      <c r="R26" s="54" t="s">
        <v>9</v>
      </c>
      <c r="S26" s="54" t="s">
        <v>12</v>
      </c>
      <c r="T26" s="54" t="s">
        <v>12</v>
      </c>
      <c r="U26" s="54"/>
      <c r="V26" s="54" t="s">
        <v>7</v>
      </c>
      <c r="W26" s="54" t="s">
        <v>8</v>
      </c>
      <c r="X26" s="54"/>
    </row>
    <row r="27" spans="1:24" x14ac:dyDescent="0.3">
      <c r="A27" s="7"/>
      <c r="B27" t="s">
        <v>87</v>
      </c>
      <c r="G27" s="68" t="s">
        <v>3</v>
      </c>
      <c r="H27" s="68"/>
      <c r="I27" s="68"/>
      <c r="J27" s="68"/>
      <c r="M27" s="10"/>
      <c r="N27" s="2" t="s">
        <v>6</v>
      </c>
      <c r="O27" s="2">
        <f>IF(N27=G27,1,0)</f>
        <v>0</v>
      </c>
      <c r="P27" s="9" t="str">
        <f>IF(O27=1,1,"")</f>
        <v/>
      </c>
      <c r="Q27" s="9" t="str">
        <f>IF(O27=1,IF(G23&gt;=R27,2,1),"")</f>
        <v/>
      </c>
      <c r="R27" s="53">
        <v>1400</v>
      </c>
      <c r="S27" s="53">
        <v>-2.2857099999999998E-3</v>
      </c>
      <c r="T27" s="53">
        <v>10.8</v>
      </c>
      <c r="V27" s="53">
        <v>7.6</v>
      </c>
      <c r="W27" s="9">
        <f>G23*S27+T27</f>
        <v>8.5142900000000008</v>
      </c>
    </row>
    <row r="28" spans="1:24" s="2" customFormat="1" hidden="1" x14ac:dyDescent="0.3">
      <c r="A28" s="34"/>
      <c r="F28" s="9"/>
      <c r="G28" s="9"/>
      <c r="I28" s="9"/>
      <c r="J28" s="9"/>
      <c r="M28" s="35"/>
      <c r="N28" s="2" t="s">
        <v>4</v>
      </c>
      <c r="O28" s="2">
        <f>IF(N28=G27,1,0)</f>
        <v>0</v>
      </c>
      <c r="P28" s="9" t="str">
        <f>IF(O28=1,2,"")</f>
        <v/>
      </c>
      <c r="Q28" s="9" t="str">
        <f>IF(O28=1,IF(G23&gt;=R28,2,1),"")</f>
        <v/>
      </c>
      <c r="R28" s="53">
        <v>800</v>
      </c>
      <c r="S28" s="53">
        <v>-2.23077E-3</v>
      </c>
      <c r="T28" s="53">
        <v>8.9350000000000005</v>
      </c>
      <c r="U28" s="9"/>
      <c r="V28" s="53">
        <v>7.15</v>
      </c>
      <c r="W28" s="9">
        <f>G23*S28+T28</f>
        <v>6.7042300000000008</v>
      </c>
      <c r="X28" s="9"/>
    </row>
    <row r="29" spans="1:24" s="2" customFormat="1" hidden="1" x14ac:dyDescent="0.3">
      <c r="A29" s="34"/>
      <c r="F29" s="9"/>
      <c r="G29" s="9"/>
      <c r="I29" s="9"/>
      <c r="J29" s="9"/>
      <c r="M29" s="35"/>
      <c r="N29" s="2" t="s">
        <v>3</v>
      </c>
      <c r="O29" s="2">
        <f>IF(N29=G27,1,0)</f>
        <v>1</v>
      </c>
      <c r="P29" s="9">
        <f>IF(O29=1,3,"")</f>
        <v>3</v>
      </c>
      <c r="Q29" s="9">
        <f>IF(O29=1,IF(G23&gt;=R29,2,1),"")</f>
        <v>2</v>
      </c>
      <c r="R29" s="53">
        <v>800</v>
      </c>
      <c r="S29" s="53">
        <v>-2.1538400000000002E-3</v>
      </c>
      <c r="T29" s="53">
        <v>8</v>
      </c>
      <c r="U29" s="9"/>
      <c r="V29" s="53">
        <v>6.3</v>
      </c>
      <c r="W29" s="9">
        <f>G23*S29+T29</f>
        <v>5.8461599999999994</v>
      </c>
      <c r="X29" s="9"/>
    </row>
    <row r="30" spans="1:24" s="2" customFormat="1" ht="18" hidden="1" x14ac:dyDescent="0.35">
      <c r="A30" s="34"/>
      <c r="F30" s="36"/>
      <c r="G30" s="36"/>
      <c r="H30" s="36"/>
      <c r="I30" s="36"/>
      <c r="J30" s="36"/>
      <c r="M30" s="35"/>
      <c r="N30" s="48"/>
      <c r="O30" s="2">
        <f>SUM(O27:O29)</f>
        <v>1</v>
      </c>
      <c r="P30" s="9">
        <f>SUM(P27:P29)</f>
        <v>3</v>
      </c>
      <c r="Q30" s="9">
        <f>SUM(Q27:Q29)</f>
        <v>2</v>
      </c>
      <c r="R30" s="9"/>
      <c r="S30" s="9"/>
      <c r="T30" s="9"/>
      <c r="U30" s="9"/>
      <c r="V30" s="9"/>
      <c r="W30" s="9"/>
      <c r="X30" s="9"/>
    </row>
    <row r="31" spans="1:24" ht="8.25" customHeight="1" x14ac:dyDescent="0.3">
      <c r="A31" s="7"/>
      <c r="M31" s="10"/>
    </row>
    <row r="32" spans="1:24" x14ac:dyDescent="0.3">
      <c r="A32" s="7"/>
      <c r="H32" s="14" t="s">
        <v>89</v>
      </c>
      <c r="I32" s="26" t="str">
        <f>IF(G21=0,"- -",IF(O30=1,IF(AND(P30=1,Q30=1),V27,IF(AND(P30=1,Q30=2),W27,IF(AND(P30=2,Q30=1),V28,IF(AND(P30=2,Q30=2),W28,IF(AND(P30=3,Q30=1),V29,IF(AND(P30=3,Q30=2),W29,"Errore")))))),"- -"))</f>
        <v>- -</v>
      </c>
      <c r="J32" t="s">
        <v>5</v>
      </c>
      <c r="M32" s="10"/>
    </row>
    <row r="33" spans="1:24" x14ac:dyDescent="0.3">
      <c r="A33" s="7"/>
      <c r="H33" s="14" t="s">
        <v>90</v>
      </c>
      <c r="I33" s="26" t="str">
        <f>IF(G21=0,"- -",IF(O30=1,IF(S33&lt;0.2,0.2,S33),"- -"))</f>
        <v>- -</v>
      </c>
      <c r="J33" t="s">
        <v>5</v>
      </c>
      <c r="M33" s="10"/>
      <c r="P33" s="9" t="s">
        <v>15</v>
      </c>
      <c r="Q33" s="24">
        <f>IF(O10=1,Q10,IF(O11=1,Q11,IF(O12=1,Q12,IF(O13=1,Q13,IF(O14=1,Q14,IF(O15=1,Q15,IF(O16=1,Q16,IF(O17=1,Q17,IF(O17=1,Q17,IF(O18=1,Q18,IF(O19=1,Q19,"Errore!")))))))))))</f>
        <v>6</v>
      </c>
      <c r="R33" s="28" t="s">
        <v>16</v>
      </c>
      <c r="S33" s="9">
        <f>(G23/1000/Q33)^2*10.198</f>
        <v>0.28327777777777779</v>
      </c>
    </row>
    <row r="34" spans="1:24" ht="15.6" x14ac:dyDescent="0.3">
      <c r="A34" s="7"/>
      <c r="H34" s="15" t="s">
        <v>91</v>
      </c>
      <c r="I34" s="23" t="str">
        <f>IF(G21=0,"- -",IF(O30=1,I32-I33,"- -"))</f>
        <v>- -</v>
      </c>
      <c r="J34" s="16" t="s">
        <v>5</v>
      </c>
      <c r="K34" s="46"/>
      <c r="M34" s="10"/>
      <c r="N34" s="32"/>
    </row>
    <row r="35" spans="1:24" ht="9" customHeight="1" x14ac:dyDescent="0.3">
      <c r="A35" s="7"/>
      <c r="H35" s="15"/>
      <c r="I35" s="23"/>
      <c r="J35" s="16"/>
      <c r="M35" s="10"/>
      <c r="N35" s="32"/>
    </row>
    <row r="36" spans="1:24" ht="15.6" x14ac:dyDescent="0.3">
      <c r="A36" s="7"/>
      <c r="B36" s="13" t="str">
        <f>IF(G22&lt;=12,"Underfoor calculation:","Underfoor calculation not available if Δt &gt; 12 K")</f>
        <v>Underfoor calculation not available if Δt &gt; 12 K</v>
      </c>
      <c r="H36" s="15"/>
      <c r="I36" s="23"/>
      <c r="J36" s="16"/>
      <c r="M36" s="10"/>
      <c r="N36" s="32"/>
      <c r="S36" s="54" t="s">
        <v>19</v>
      </c>
    </row>
    <row r="37" spans="1:24" ht="9" customHeight="1" x14ac:dyDescent="0.3">
      <c r="A37" s="7"/>
      <c r="H37" s="15"/>
      <c r="I37" s="23"/>
      <c r="J37" s="16"/>
      <c r="M37" s="10"/>
      <c r="N37" s="32"/>
    </row>
    <row r="38" spans="1:24" x14ac:dyDescent="0.3">
      <c r="A38" s="7"/>
      <c r="B38" t="s">
        <v>92</v>
      </c>
      <c r="F38" s="14"/>
      <c r="G38" s="62" t="s">
        <v>24</v>
      </c>
      <c r="I38" s="38" t="str">
        <f>IF(G22&gt;12,"","Use Δt=")</f>
        <v/>
      </c>
      <c r="J38" s="16" t="str">
        <f>IF(G22&gt;12,"",IF(G38=N38,P38,IF(G38=N39,P39,IF(G38=N40,P40,""))))</f>
        <v/>
      </c>
      <c r="M38" s="10"/>
      <c r="N38" s="24" t="s">
        <v>23</v>
      </c>
      <c r="O38" s="2">
        <f>IF(N38=G38,1,0)</f>
        <v>0</v>
      </c>
      <c r="P38" s="9" t="s">
        <v>20</v>
      </c>
      <c r="Q38" s="31">
        <f>T38*S38</f>
        <v>34.375</v>
      </c>
      <c r="R38" s="24" t="s">
        <v>17</v>
      </c>
      <c r="S38" s="53">
        <v>1.375</v>
      </c>
      <c r="T38" s="42">
        <v>25</v>
      </c>
      <c r="U38" s="27"/>
      <c r="V38" s="24" t="s">
        <v>17</v>
      </c>
    </row>
    <row r="39" spans="1:24" s="2" customFormat="1" ht="15.6" hidden="1" x14ac:dyDescent="0.3">
      <c r="A39" s="34"/>
      <c r="F39" s="27"/>
      <c r="G39" s="39"/>
      <c r="H39" s="40"/>
      <c r="I39" s="39"/>
      <c r="J39" s="32"/>
      <c r="M39" s="35"/>
      <c r="N39" s="24" t="s">
        <v>24</v>
      </c>
      <c r="O39" s="2">
        <f>IF(N39=G38,1,0)</f>
        <v>1</v>
      </c>
      <c r="P39" s="9" t="s">
        <v>21</v>
      </c>
      <c r="Q39" s="31">
        <f>T39*S39</f>
        <v>110</v>
      </c>
      <c r="R39" s="24" t="s">
        <v>17</v>
      </c>
      <c r="S39" s="53">
        <v>1.375</v>
      </c>
      <c r="T39" s="43">
        <v>80</v>
      </c>
      <c r="U39" s="31"/>
      <c r="V39" s="24" t="s">
        <v>17</v>
      </c>
      <c r="W39" s="9"/>
      <c r="X39" s="9"/>
    </row>
    <row r="40" spans="1:24" s="2" customFormat="1" ht="15.6" hidden="1" x14ac:dyDescent="0.3">
      <c r="A40" s="34"/>
      <c r="F40" s="27"/>
      <c r="G40" s="39"/>
      <c r="H40" s="40"/>
      <c r="I40" s="39"/>
      <c r="J40" s="32"/>
      <c r="M40" s="35"/>
      <c r="N40" s="24" t="s">
        <v>25</v>
      </c>
      <c r="O40" s="2">
        <f>IF(N40=G38,1,0)</f>
        <v>0</v>
      </c>
      <c r="P40" s="9" t="s">
        <v>22</v>
      </c>
      <c r="Q40" s="31">
        <f>T40*S40</f>
        <v>192.5</v>
      </c>
      <c r="R40" s="24" t="s">
        <v>17</v>
      </c>
      <c r="S40" s="53">
        <v>1.375</v>
      </c>
      <c r="T40" s="42">
        <v>140</v>
      </c>
      <c r="U40" s="27"/>
      <c r="V40" s="24" t="s">
        <v>17</v>
      </c>
      <c r="W40" s="9"/>
      <c r="X40" s="9"/>
    </row>
    <row r="41" spans="1:24" s="2" customFormat="1" ht="18" hidden="1" x14ac:dyDescent="0.35">
      <c r="A41" s="34"/>
      <c r="F41" s="36"/>
      <c r="G41" s="36"/>
      <c r="H41" s="36"/>
      <c r="I41" s="36"/>
      <c r="J41" s="36"/>
      <c r="M41" s="35"/>
      <c r="N41" s="48"/>
      <c r="O41" s="2">
        <f>SUM(O38:O40)</f>
        <v>1</v>
      </c>
      <c r="P41" s="9">
        <f>SUM(P38:P40)</f>
        <v>0</v>
      </c>
      <c r="Q41" s="27"/>
      <c r="R41" s="9"/>
      <c r="S41" s="9"/>
      <c r="T41" s="9"/>
      <c r="U41" s="9"/>
      <c r="V41" s="9"/>
      <c r="W41" s="9"/>
      <c r="X41" s="9"/>
    </row>
    <row r="42" spans="1:24" ht="9" customHeight="1" x14ac:dyDescent="0.3">
      <c r="A42" s="7"/>
      <c r="H42" s="15"/>
      <c r="I42" s="23"/>
      <c r="J42" s="16"/>
      <c r="M42" s="10"/>
      <c r="N42" s="32"/>
    </row>
    <row r="43" spans="1:24" ht="44.25" customHeight="1" x14ac:dyDescent="0.3">
      <c r="A43" s="7"/>
      <c r="B43" s="65" t="str">
        <f>IF(G22&gt;12,"","Maximum surface of the underfloor installation manageable by each pump unit, with a heat drop proportionate to the selected class of insulation:")</f>
        <v/>
      </c>
      <c r="C43" s="65"/>
      <c r="D43" s="65"/>
      <c r="E43" s="65"/>
      <c r="F43" s="65"/>
      <c r="G43" s="65"/>
      <c r="H43" s="65"/>
      <c r="I43" s="52" t="str">
        <f>IF(G22&gt;12,"",IF(G21=0,"- -",IF(G22&lt;=12,IF(O38=1,E25*1000/Q38,IF(O39=1,E25*1000/Q39,IF(O40=1,E25*1000/Q40,"- -"))),"- - ")))</f>
        <v/>
      </c>
      <c r="J43" s="29" t="str">
        <f>IF(G22&gt;12,"","m2")</f>
        <v/>
      </c>
      <c r="M43" s="10"/>
      <c r="N43" s="50"/>
      <c r="Q43" s="27"/>
    </row>
    <row r="44" spans="1:24" ht="10.5" customHeight="1" x14ac:dyDescent="0.3">
      <c r="A44" s="17"/>
      <c r="B44" s="18"/>
      <c r="C44" s="18"/>
      <c r="D44" s="18"/>
      <c r="E44" s="18"/>
      <c r="F44" s="19"/>
      <c r="G44" s="18"/>
      <c r="H44" s="18"/>
      <c r="I44" s="19"/>
      <c r="J44" s="19"/>
      <c r="K44" s="18"/>
      <c r="L44" s="18"/>
      <c r="M44" s="20"/>
    </row>
    <row r="45" spans="1:24" ht="18.75" customHeight="1" x14ac:dyDescent="0.3"/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4"/>
      <c r="L46" s="4"/>
      <c r="M46" s="6"/>
      <c r="Q46" s="53"/>
      <c r="R46" s="44"/>
      <c r="S46" s="44"/>
      <c r="T46" s="44"/>
      <c r="U46" s="44"/>
    </row>
    <row r="47" spans="1:24" ht="15.6" x14ac:dyDescent="0.3">
      <c r="A47" s="7"/>
      <c r="B47" s="8" t="s">
        <v>81</v>
      </c>
      <c r="G47" s="70" t="s">
        <v>33</v>
      </c>
      <c r="H47" s="70"/>
      <c r="I47" s="70"/>
      <c r="J47" s="70"/>
      <c r="M47" s="10"/>
      <c r="N47" s="47" t="s">
        <v>33</v>
      </c>
      <c r="O47" s="2">
        <f>IF(G47=N47,1,0)</f>
        <v>1</v>
      </c>
      <c r="P47" s="9" t="s">
        <v>15</v>
      </c>
      <c r="Q47" s="41">
        <v>6</v>
      </c>
      <c r="R47" s="44">
        <v>4.0999999999999996</v>
      </c>
      <c r="S47" s="44">
        <v>2284</v>
      </c>
      <c r="T47" s="44">
        <v>1770</v>
      </c>
      <c r="U47" s="44">
        <v>1511</v>
      </c>
      <c r="V47" s="45">
        <f>S47*$G59/860</f>
        <v>53.116279069767444</v>
      </c>
      <c r="W47" s="45">
        <f>T47*$G59/860</f>
        <v>41.162790697674417</v>
      </c>
      <c r="X47" s="45">
        <f>U47*$G59/860</f>
        <v>35.139534883720927</v>
      </c>
    </row>
    <row r="48" spans="1:24" s="2" customFormat="1" ht="15.6" hidden="1" x14ac:dyDescent="0.3">
      <c r="A48" s="34"/>
      <c r="B48" s="37"/>
      <c r="F48" s="9"/>
      <c r="G48" s="9"/>
      <c r="I48" s="9"/>
      <c r="J48" s="9"/>
      <c r="M48" s="35"/>
      <c r="N48" s="47" t="s">
        <v>34</v>
      </c>
      <c r="O48" s="2">
        <f>IF(G47=N48,1,0)</f>
        <v>0</v>
      </c>
      <c r="P48" s="9" t="s">
        <v>15</v>
      </c>
      <c r="Q48" s="41">
        <v>2.7</v>
      </c>
      <c r="R48" s="44">
        <v>5</v>
      </c>
      <c r="S48" s="44">
        <v>1363</v>
      </c>
      <c r="T48" s="44">
        <v>1060</v>
      </c>
      <c r="U48" s="44">
        <v>885</v>
      </c>
      <c r="V48" s="45">
        <f>S48*$G59/860</f>
        <v>31.697674418604652</v>
      </c>
      <c r="W48" s="45">
        <f>T48*$G59/860</f>
        <v>24.651162790697676</v>
      </c>
      <c r="X48" s="45">
        <f>U48*$G59/860</f>
        <v>20.581395348837209</v>
      </c>
    </row>
    <row r="49" spans="1:24" s="2" customFormat="1" ht="15.6" hidden="1" x14ac:dyDescent="0.3">
      <c r="A49" s="34"/>
      <c r="B49" s="37"/>
      <c r="F49" s="9"/>
      <c r="G49" s="9"/>
      <c r="I49" s="9"/>
      <c r="J49" s="9"/>
      <c r="M49" s="35"/>
      <c r="N49" s="47" t="s">
        <v>35</v>
      </c>
      <c r="O49" s="2">
        <f>IF(G47=N49,1,0)</f>
        <v>0</v>
      </c>
      <c r="P49" s="9" t="s">
        <v>15</v>
      </c>
      <c r="Q49" s="41">
        <v>3.8</v>
      </c>
      <c r="R49" s="44">
        <v>5</v>
      </c>
      <c r="S49" s="44">
        <v>1673</v>
      </c>
      <c r="T49" s="44">
        <v>1261</v>
      </c>
      <c r="U49" s="44">
        <v>1039</v>
      </c>
      <c r="V49" s="45">
        <f>S49*$G59/860</f>
        <v>38.906976744186046</v>
      </c>
      <c r="W49" s="45">
        <f>T49*$G59/860</f>
        <v>29.325581395348838</v>
      </c>
      <c r="X49" s="45">
        <f>U49*$G59/860</f>
        <v>24.162790697674417</v>
      </c>
    </row>
    <row r="50" spans="1:24" s="2" customFormat="1" ht="15.6" hidden="1" x14ac:dyDescent="0.3">
      <c r="A50" s="34"/>
      <c r="B50" s="37"/>
      <c r="F50" s="9"/>
      <c r="G50" s="9"/>
      <c r="I50" s="9"/>
      <c r="J50" s="9"/>
      <c r="M50" s="35"/>
      <c r="N50" s="47" t="s">
        <v>26</v>
      </c>
      <c r="O50" s="2">
        <f>IF(G47=N50,1,0)</f>
        <v>0</v>
      </c>
      <c r="P50" s="9" t="s">
        <v>15</v>
      </c>
      <c r="Q50" s="41">
        <v>4</v>
      </c>
      <c r="R50" s="44">
        <v>4.5</v>
      </c>
      <c r="S50" s="44">
        <v>1826</v>
      </c>
      <c r="T50" s="44">
        <v>1416</v>
      </c>
      <c r="U50" s="44">
        <v>1199</v>
      </c>
      <c r="V50" s="45">
        <f>S50*$G59/860</f>
        <v>42.465116279069768</v>
      </c>
      <c r="W50" s="45">
        <f>T50*$G59/860</f>
        <v>32.930232558139537</v>
      </c>
      <c r="X50" s="45">
        <f>U50*$G59/860</f>
        <v>27.88372093023256</v>
      </c>
    </row>
    <row r="51" spans="1:24" s="2" customFormat="1" ht="15.6" hidden="1" x14ac:dyDescent="0.3">
      <c r="A51" s="34"/>
      <c r="B51" s="37"/>
      <c r="F51" s="9"/>
      <c r="G51" s="9"/>
      <c r="I51" s="9"/>
      <c r="J51" s="9"/>
      <c r="M51" s="35"/>
      <c r="N51" s="47" t="s">
        <v>27</v>
      </c>
      <c r="O51" s="2">
        <f>IF(G47=N51,1,0)</f>
        <v>0</v>
      </c>
      <c r="P51" s="9" t="s">
        <v>15</v>
      </c>
      <c r="Q51" s="41">
        <v>5.5</v>
      </c>
      <c r="R51" s="44">
        <v>4.5</v>
      </c>
      <c r="S51" s="44">
        <v>1950</v>
      </c>
      <c r="T51" s="44">
        <v>1601</v>
      </c>
      <c r="U51" s="44">
        <v>1343</v>
      </c>
      <c r="V51" s="45">
        <f>S51*$G59/860</f>
        <v>45.348837209302324</v>
      </c>
      <c r="W51" s="45">
        <f t="shared" ref="W51:X51" si="6">T51*$G59/860</f>
        <v>37.232558139534881</v>
      </c>
      <c r="X51" s="45">
        <f t="shared" si="6"/>
        <v>31.232558139534884</v>
      </c>
    </row>
    <row r="52" spans="1:24" s="2" customFormat="1" ht="15.6" hidden="1" x14ac:dyDescent="0.3">
      <c r="A52" s="34"/>
      <c r="B52" s="37"/>
      <c r="F52" s="9"/>
      <c r="G52" s="9"/>
      <c r="I52" s="9"/>
      <c r="J52" s="9"/>
      <c r="M52" s="35"/>
      <c r="N52" s="47" t="s">
        <v>28</v>
      </c>
      <c r="O52" s="2">
        <f>IF(G47=N52,1,0)</f>
        <v>0</v>
      </c>
      <c r="P52" s="9" t="s">
        <v>15</v>
      </c>
      <c r="Q52" s="41">
        <v>2</v>
      </c>
      <c r="R52" s="44">
        <v>5</v>
      </c>
      <c r="S52" s="44">
        <v>1010</v>
      </c>
      <c r="T52" s="44">
        <v>880</v>
      </c>
      <c r="U52" s="44">
        <v>714</v>
      </c>
      <c r="V52" s="45">
        <f>S52*$G59/860</f>
        <v>23.488372093023255</v>
      </c>
      <c r="W52" s="45">
        <f t="shared" ref="W52:X52" si="7">T52*$G59/860</f>
        <v>20.465116279069768</v>
      </c>
      <c r="X52" s="45">
        <f t="shared" si="7"/>
        <v>16.604651162790699</v>
      </c>
    </row>
    <row r="53" spans="1:24" s="2" customFormat="1" ht="15.6" hidden="1" x14ac:dyDescent="0.3">
      <c r="A53" s="34"/>
      <c r="B53" s="37"/>
      <c r="F53" s="9"/>
      <c r="G53" s="9"/>
      <c r="I53" s="9"/>
      <c r="J53" s="9"/>
      <c r="M53" s="35"/>
      <c r="N53" s="47" t="s">
        <v>29</v>
      </c>
      <c r="O53" s="2">
        <f>IF(G47=N53,1,0)</f>
        <v>0</v>
      </c>
      <c r="P53" s="9" t="s">
        <v>15</v>
      </c>
      <c r="Q53" s="41">
        <v>2.4</v>
      </c>
      <c r="R53" s="44">
        <v>5</v>
      </c>
      <c r="S53" s="44">
        <v>1212</v>
      </c>
      <c r="T53" s="44">
        <v>989</v>
      </c>
      <c r="U53" s="44">
        <v>829</v>
      </c>
      <c r="V53" s="45">
        <f>S53*$G59/860</f>
        <v>28.186046511627907</v>
      </c>
      <c r="W53" s="45">
        <f t="shared" ref="W53:X53" si="8">T53*$G59/860</f>
        <v>23</v>
      </c>
      <c r="X53" s="45">
        <f t="shared" si="8"/>
        <v>19.279069767441861</v>
      </c>
    </row>
    <row r="54" spans="1:24" s="2" customFormat="1" ht="15.6" hidden="1" x14ac:dyDescent="0.3">
      <c r="A54" s="34"/>
      <c r="B54" s="37"/>
      <c r="F54" s="9"/>
      <c r="G54" s="9"/>
      <c r="I54" s="9"/>
      <c r="J54" s="9"/>
      <c r="M54" s="35"/>
      <c r="N54" s="47" t="s">
        <v>30</v>
      </c>
      <c r="O54" s="2">
        <f>IF(G47=N54,1,0)</f>
        <v>0</v>
      </c>
      <c r="P54" s="9" t="s">
        <v>15</v>
      </c>
      <c r="Q54" s="41">
        <v>3.1</v>
      </c>
      <c r="R54" s="44">
        <v>5</v>
      </c>
      <c r="S54" s="44">
        <v>1497</v>
      </c>
      <c r="T54" s="44">
        <v>1143</v>
      </c>
      <c r="U54" s="44">
        <v>949</v>
      </c>
      <c r="V54" s="45">
        <f>S54*$G59/860</f>
        <v>34.813953488372093</v>
      </c>
      <c r="W54" s="45">
        <f t="shared" ref="W54:X54" si="9">T54*$G59/860</f>
        <v>26.581395348837209</v>
      </c>
      <c r="X54" s="45">
        <f t="shared" si="9"/>
        <v>22.069767441860463</v>
      </c>
    </row>
    <row r="55" spans="1:24" s="2" customFormat="1" ht="15.6" hidden="1" x14ac:dyDescent="0.3">
      <c r="A55" s="34"/>
      <c r="B55" s="37"/>
      <c r="F55" s="9"/>
      <c r="G55" s="9"/>
      <c r="I55" s="9"/>
      <c r="J55" s="9"/>
      <c r="M55" s="35"/>
      <c r="N55" s="47" t="s">
        <v>31</v>
      </c>
      <c r="O55" s="2">
        <f>IF(G47=N55,1,0)</f>
        <v>0</v>
      </c>
      <c r="P55" s="9" t="s">
        <v>15</v>
      </c>
      <c r="Q55" s="41">
        <v>1.7</v>
      </c>
      <c r="R55" s="44">
        <v>5</v>
      </c>
      <c r="S55" s="44">
        <v>858</v>
      </c>
      <c r="T55" s="44">
        <v>781</v>
      </c>
      <c r="U55" s="44">
        <v>607</v>
      </c>
      <c r="V55" s="45">
        <f>S55*$G59/860</f>
        <v>19.953488372093023</v>
      </c>
      <c r="W55" s="45">
        <f t="shared" ref="W55:X55" si="10">T55*$G59/860</f>
        <v>18.162790697674417</v>
      </c>
      <c r="X55" s="45">
        <f t="shared" si="10"/>
        <v>14.116279069767442</v>
      </c>
    </row>
    <row r="56" spans="1:24" s="2" customFormat="1" ht="15.6" hidden="1" x14ac:dyDescent="0.3">
      <c r="A56" s="34"/>
      <c r="B56" s="37"/>
      <c r="F56" s="9"/>
      <c r="G56" s="9"/>
      <c r="I56" s="9"/>
      <c r="J56" s="9"/>
      <c r="M56" s="35"/>
      <c r="N56" s="47" t="s">
        <v>32</v>
      </c>
      <c r="O56" s="2">
        <f>IF(G47=N56,1,0)</f>
        <v>0</v>
      </c>
      <c r="P56" s="9" t="s">
        <v>15</v>
      </c>
      <c r="Q56" s="41">
        <v>1.9</v>
      </c>
      <c r="R56" s="44">
        <v>5</v>
      </c>
      <c r="S56" s="44">
        <v>1000</v>
      </c>
      <c r="T56" s="44">
        <v>850</v>
      </c>
      <c r="U56" s="44">
        <v>678</v>
      </c>
      <c r="V56" s="45">
        <f>S56*$G59/860</f>
        <v>23.255813953488371</v>
      </c>
      <c r="W56" s="45">
        <f t="shared" ref="W56:X56" si="11">T56*$G59/860</f>
        <v>19.767441860465116</v>
      </c>
      <c r="X56" s="45">
        <f t="shared" si="11"/>
        <v>15.767441860465116</v>
      </c>
    </row>
    <row r="57" spans="1:24" ht="8.25" customHeight="1" x14ac:dyDescent="0.35">
      <c r="A57" s="7"/>
      <c r="F57" s="33"/>
      <c r="G57" s="33"/>
      <c r="H57" s="33"/>
      <c r="I57" s="33"/>
      <c r="J57" s="33"/>
      <c r="M57" s="10"/>
      <c r="N57" s="48"/>
    </row>
    <row r="58" spans="1:24" x14ac:dyDescent="0.3">
      <c r="A58" s="7"/>
      <c r="B58" t="s">
        <v>83</v>
      </c>
      <c r="G58" s="61">
        <v>0</v>
      </c>
      <c r="H58" s="77" t="str">
        <f>IF(G21+G58+G95&gt;3,"Maximum number of pump units in total = 3","")</f>
        <v/>
      </c>
      <c r="I58" s="77"/>
      <c r="J58" s="77"/>
      <c r="K58" s="77"/>
      <c r="L58" s="77"/>
      <c r="M58" s="10"/>
      <c r="O58" s="2">
        <v>0</v>
      </c>
    </row>
    <row r="59" spans="1:24" x14ac:dyDescent="0.3">
      <c r="A59" s="7"/>
      <c r="B59" t="s">
        <v>94</v>
      </c>
      <c r="G59" s="61">
        <v>20</v>
      </c>
      <c r="H59" t="s">
        <v>1</v>
      </c>
      <c r="M59" s="10"/>
      <c r="N59" s="49"/>
      <c r="O59" s="2">
        <v>1</v>
      </c>
    </row>
    <row r="60" spans="1:24" ht="15.6" x14ac:dyDescent="0.3">
      <c r="A60" s="7"/>
      <c r="B60" t="s">
        <v>84</v>
      </c>
      <c r="G60" s="61">
        <v>1000</v>
      </c>
      <c r="H60" s="22" t="s">
        <v>2</v>
      </c>
      <c r="I60" s="8"/>
      <c r="J60" s="8"/>
      <c r="K60" s="51"/>
      <c r="L60" s="25"/>
      <c r="M60" s="10"/>
      <c r="N60" s="49"/>
      <c r="O60" s="2">
        <v>2</v>
      </c>
      <c r="P60" s="54"/>
      <c r="Q60" s="11"/>
      <c r="R60" s="11"/>
      <c r="S60" s="11"/>
      <c r="T60" s="11"/>
      <c r="U60" s="11"/>
      <c r="V60" s="11"/>
      <c r="W60" s="11"/>
      <c r="X60" s="11"/>
    </row>
    <row r="61" spans="1:24" x14ac:dyDescent="0.3">
      <c r="A61" s="7"/>
      <c r="L61" s="12" t="s">
        <v>85</v>
      </c>
      <c r="M61" s="10"/>
      <c r="N61" s="49"/>
      <c r="O61" s="2">
        <v>3</v>
      </c>
    </row>
    <row r="62" spans="1:24" ht="15.6" x14ac:dyDescent="0.3">
      <c r="A62" s="7"/>
      <c r="B62" s="13" t="s">
        <v>86</v>
      </c>
      <c r="E62" s="30" t="str">
        <f>IF(G58=0,"- -",G60*G59/860)</f>
        <v>- -</v>
      </c>
      <c r="F62" s="21" t="s">
        <v>0</v>
      </c>
      <c r="H62" s="64" t="s">
        <v>88</v>
      </c>
      <c r="I62" s="56" t="str">
        <f>IF(G58=0,"- -",IF(AND(O47=1,O64=1),V47,IF(AND(O47=1,O65=1),W47,IF(AND(O47=1,O66=1),X47,IF(AND(O48=1,O64=1),V48,IF(AND(O48=1,O65=1),W48,IF(AND(O48=1,O66=1),X48,IF(AND(O49=1,O64=1),V49,IF(AND(O49=1,O65=1),W49,IF(AND(O49=1,O66=1),X49,IF(AND(O50=1,O64=1),V50,IF(AND(O50=1,O65=1),W50,IF(AND(O50=1,O66=1),X50,IF(AND(O51=1,O64=1),V51,IF(AND(O51=1,O65=1),W51,IF(AND(O51=1,O66=1),X51,IF(AND(O52=1,O64=1),V52,IF(AND(O52=1,O65=1),W52,IF(AND(O52=1,O66=1),X52,IF(AND(O53=1,O64=1),V53,IF(AND(O53=1,O65=1),W53,IF(AND(O53=1,O66=1),X53,IF(AND(O54=1,O64=1),V54,IF(AND(O54=1,O65=1),W54,IF(AND(O54=1,O66=1),X54,IF(AND(O55=1,O64=1),V55,IF(AND(O55=1,O65=1),W55,IF(AND(O55=1,O66=1),X55,IF(AND(O56=1,O64=1),V56,IF(AND(O56=1,O65=1),W56,IF(AND(O56=1,O66=1),X56,"Errore")))))))))))))))))))))))))))))))</f>
        <v>- -</v>
      </c>
      <c r="J62" s="59" t="s">
        <v>18</v>
      </c>
      <c r="K62" s="30" t="str">
        <f>IF(G58=0,"- -",G58*E62)</f>
        <v>- -</v>
      </c>
      <c r="L62" s="21" t="s">
        <v>0</v>
      </c>
      <c r="M62" s="10"/>
      <c r="N62" s="57" t="e">
        <f>E62/I62-1</f>
        <v>#VALUE!</v>
      </c>
      <c r="P62" s="28"/>
      <c r="Q62" s="24"/>
      <c r="S62" s="54" t="s">
        <v>13</v>
      </c>
      <c r="T62" s="54" t="s">
        <v>14</v>
      </c>
      <c r="U62" s="54"/>
    </row>
    <row r="63" spans="1:24" x14ac:dyDescent="0.3">
      <c r="A63" s="7"/>
      <c r="M63" s="10"/>
      <c r="P63" s="54" t="s">
        <v>11</v>
      </c>
      <c r="Q63" s="54" t="s">
        <v>10</v>
      </c>
      <c r="R63" s="54" t="s">
        <v>9</v>
      </c>
      <c r="S63" s="54" t="s">
        <v>12</v>
      </c>
      <c r="T63" s="54" t="s">
        <v>12</v>
      </c>
      <c r="U63" s="54"/>
      <c r="V63" s="54" t="s">
        <v>7</v>
      </c>
      <c r="W63" s="54" t="s">
        <v>8</v>
      </c>
      <c r="X63" s="54"/>
    </row>
    <row r="64" spans="1:24" x14ac:dyDescent="0.3">
      <c r="A64" s="7"/>
      <c r="B64" t="s">
        <v>87</v>
      </c>
      <c r="G64" s="68" t="s">
        <v>6</v>
      </c>
      <c r="H64" s="68"/>
      <c r="I64" s="68"/>
      <c r="J64" s="68"/>
      <c r="M64" s="10"/>
      <c r="N64" s="2" t="s">
        <v>6</v>
      </c>
      <c r="O64" s="2">
        <f>IF(N64=G64,1,0)</f>
        <v>1</v>
      </c>
      <c r="P64" s="9">
        <f>IF(O64=1,1,"")</f>
        <v>1</v>
      </c>
      <c r="Q64" s="9">
        <f>IF(O64=1,IF(G60&gt;=R64,2,1),"")</f>
        <v>1</v>
      </c>
      <c r="R64" s="53">
        <v>1400</v>
      </c>
      <c r="S64" s="53">
        <v>-2.2857099999999998E-3</v>
      </c>
      <c r="T64" s="53">
        <v>10.8</v>
      </c>
      <c r="V64" s="53">
        <v>7.6</v>
      </c>
      <c r="W64" s="9">
        <f>G60*S64+T64</f>
        <v>8.5142900000000008</v>
      </c>
    </row>
    <row r="65" spans="1:24" s="2" customFormat="1" hidden="1" x14ac:dyDescent="0.3">
      <c r="A65" s="34"/>
      <c r="F65" s="9"/>
      <c r="G65" s="9"/>
      <c r="I65" s="9"/>
      <c r="J65" s="9"/>
      <c r="M65" s="35"/>
      <c r="N65" s="2" t="s">
        <v>4</v>
      </c>
      <c r="O65" s="2">
        <f>IF(N65=G64,1,0)</f>
        <v>0</v>
      </c>
      <c r="P65" s="9" t="str">
        <f>IF(O65=1,2,"")</f>
        <v/>
      </c>
      <c r="Q65" s="9" t="str">
        <f>IF(O65=1,IF(G60&gt;=R65,2,1),"")</f>
        <v/>
      </c>
      <c r="R65" s="53">
        <v>800</v>
      </c>
      <c r="S65" s="53">
        <v>-2.23077E-3</v>
      </c>
      <c r="T65" s="53">
        <v>8.9350000000000005</v>
      </c>
      <c r="U65" s="9"/>
      <c r="V65" s="53">
        <v>7.15</v>
      </c>
      <c r="W65" s="9">
        <f>G60*S65+T65</f>
        <v>6.7042300000000008</v>
      </c>
      <c r="X65" s="9"/>
    </row>
    <row r="66" spans="1:24" s="2" customFormat="1" hidden="1" x14ac:dyDescent="0.3">
      <c r="A66" s="34"/>
      <c r="F66" s="9"/>
      <c r="G66" s="9"/>
      <c r="I66" s="9"/>
      <c r="J66" s="9"/>
      <c r="M66" s="35"/>
      <c r="N66" s="2" t="s">
        <v>3</v>
      </c>
      <c r="O66" s="2">
        <f>IF(N66=G64,1,0)</f>
        <v>0</v>
      </c>
      <c r="P66" s="9" t="str">
        <f>IF(O66=1,3,"")</f>
        <v/>
      </c>
      <c r="Q66" s="9" t="str">
        <f>IF(O66=1,IF(G60&gt;=R66,2,1),"")</f>
        <v/>
      </c>
      <c r="R66" s="53">
        <v>800</v>
      </c>
      <c r="S66" s="53">
        <v>-2.1538400000000002E-3</v>
      </c>
      <c r="T66" s="53">
        <v>8</v>
      </c>
      <c r="U66" s="9"/>
      <c r="V66" s="53">
        <v>6.3</v>
      </c>
      <c r="W66" s="9">
        <f>G60*S66+T66</f>
        <v>5.8461599999999994</v>
      </c>
      <c r="X66" s="9"/>
    </row>
    <row r="67" spans="1:24" s="2" customFormat="1" ht="18" hidden="1" x14ac:dyDescent="0.35">
      <c r="A67" s="34"/>
      <c r="F67" s="36"/>
      <c r="G67" s="36"/>
      <c r="H67" s="36"/>
      <c r="I67" s="36"/>
      <c r="J67" s="36"/>
      <c r="M67" s="35"/>
      <c r="N67" s="48"/>
      <c r="O67" s="2">
        <f>SUM(O64:O66)</f>
        <v>1</v>
      </c>
      <c r="P67" s="9">
        <f>SUM(P64:P66)</f>
        <v>1</v>
      </c>
      <c r="Q67" s="9">
        <f>SUM(Q64:Q66)</f>
        <v>1</v>
      </c>
      <c r="R67" s="9"/>
      <c r="S67" s="9"/>
      <c r="T67" s="9"/>
      <c r="U67" s="9"/>
      <c r="V67" s="9"/>
      <c r="W67" s="9"/>
      <c r="X67" s="9"/>
    </row>
    <row r="68" spans="1:24" ht="8.25" customHeight="1" x14ac:dyDescent="0.3">
      <c r="A68" s="7"/>
      <c r="M68" s="10"/>
    </row>
    <row r="69" spans="1:24" x14ac:dyDescent="0.3">
      <c r="A69" s="7"/>
      <c r="H69" s="14" t="s">
        <v>89</v>
      </c>
      <c r="I69" s="26" t="str">
        <f>IF(G58=0,"- -",IF(O67=1,IF(AND(P67=1,Q67=1),V64,IF(AND(P67=1,Q67=2),W64,IF(AND(P67=2,Q67=1),V65,IF(AND(P67=2,Q67=2),W65,IF(AND(P67=3,Q67=1),V66,IF(AND(P67=3,Q67=2),W66,"Errore")))))),"- -"))</f>
        <v>- -</v>
      </c>
      <c r="J69" t="s">
        <v>5</v>
      </c>
      <c r="M69" s="10"/>
    </row>
    <row r="70" spans="1:24" x14ac:dyDescent="0.3">
      <c r="A70" s="7"/>
      <c r="H70" s="14" t="s">
        <v>90</v>
      </c>
      <c r="I70" s="26" t="str">
        <f>IF(G58=0,"- -",IF(O67=1,IF(S70&lt;0.2,0.2,S70),"- -"))</f>
        <v>- -</v>
      </c>
      <c r="J70" t="s">
        <v>5</v>
      </c>
      <c r="M70" s="10"/>
      <c r="P70" s="9" t="s">
        <v>15</v>
      </c>
      <c r="Q70" s="24">
        <f>IF(O47=1,Q47,IF(O48=1,Q48,IF(O49=1,Q49,IF(O50=1,Q50,IF(O51=1,Q51,IF(O52=1,Q52,IF(O53=1,Q53,IF(O54=1,Q54,IF(O54=1,Q54,IF(O55=1,Q55,IF(O56=1,Q56,"Errore!")))))))))))</f>
        <v>6</v>
      </c>
      <c r="R70" s="28" t="s">
        <v>16</v>
      </c>
      <c r="S70" s="9">
        <f>(G60/1000/Q70)^2*10.198</f>
        <v>0.28327777777777779</v>
      </c>
    </row>
    <row r="71" spans="1:24" ht="15.6" x14ac:dyDescent="0.3">
      <c r="A71" s="7"/>
      <c r="H71" s="15" t="s">
        <v>91</v>
      </c>
      <c r="I71" s="23" t="str">
        <f>IF(G58=0,"- -",IF(O67=1,I69-I70,"- -"))</f>
        <v>- -</v>
      </c>
      <c r="J71" s="16" t="s">
        <v>5</v>
      </c>
      <c r="K71" s="46"/>
      <c r="M71" s="10"/>
      <c r="N71" s="32"/>
    </row>
    <row r="72" spans="1:24" ht="9" customHeight="1" x14ac:dyDescent="0.3">
      <c r="A72" s="7"/>
      <c r="H72" s="15"/>
      <c r="I72" s="23"/>
      <c r="J72" s="16"/>
      <c r="M72" s="10"/>
      <c r="N72" s="32"/>
    </row>
    <row r="73" spans="1:24" ht="15.6" x14ac:dyDescent="0.3">
      <c r="A73" s="7"/>
      <c r="B73" s="13" t="str">
        <f>IF(G59&lt;=12,"Underfoor calculation:","Underfoor calculation not available if Δt &gt; 12 K")</f>
        <v>Underfoor calculation not available if Δt &gt; 12 K</v>
      </c>
      <c r="H73" s="15"/>
      <c r="I73" s="23"/>
      <c r="J73" s="16"/>
      <c r="M73" s="10"/>
      <c r="N73" s="32"/>
      <c r="S73" s="54" t="s">
        <v>19</v>
      </c>
    </row>
    <row r="74" spans="1:24" ht="9" customHeight="1" x14ac:dyDescent="0.3">
      <c r="A74" s="7"/>
      <c r="H74" s="15"/>
      <c r="I74" s="23"/>
      <c r="J74" s="16"/>
      <c r="M74" s="10"/>
      <c r="N74" s="32"/>
    </row>
    <row r="75" spans="1:24" x14ac:dyDescent="0.3">
      <c r="A75" s="7"/>
      <c r="B75" t="s">
        <v>92</v>
      </c>
      <c r="F75" s="14"/>
      <c r="G75" s="62" t="s">
        <v>24</v>
      </c>
      <c r="I75" s="38" t="str">
        <f>IF(G59&gt;12,"","Use Δt =")</f>
        <v/>
      </c>
      <c r="J75" s="16" t="str">
        <f>IF(G59&gt;12,"",IF(G75=N75,P75,IF(G75=N76,P76,IF(G75=N77,P77,""))))</f>
        <v/>
      </c>
      <c r="M75" s="10"/>
      <c r="N75" s="24" t="s">
        <v>23</v>
      </c>
      <c r="O75" s="2">
        <f>IF(N75=G75,1,0)</f>
        <v>0</v>
      </c>
      <c r="P75" s="9" t="s">
        <v>20</v>
      </c>
      <c r="Q75" s="31">
        <f>T75*S75</f>
        <v>34.375</v>
      </c>
      <c r="R75" s="24" t="s">
        <v>17</v>
      </c>
      <c r="S75" s="53">
        <v>1.375</v>
      </c>
      <c r="T75" s="42">
        <v>25</v>
      </c>
      <c r="U75" s="27"/>
      <c r="V75" s="24" t="s">
        <v>17</v>
      </c>
    </row>
    <row r="76" spans="1:24" s="2" customFormat="1" ht="15.6" hidden="1" x14ac:dyDescent="0.3">
      <c r="A76" s="34"/>
      <c r="F76" s="27"/>
      <c r="G76" s="39"/>
      <c r="H76" s="40"/>
      <c r="I76" s="39"/>
      <c r="J76" s="32"/>
      <c r="M76" s="35"/>
      <c r="N76" s="24" t="s">
        <v>24</v>
      </c>
      <c r="O76" s="2">
        <f>IF(N76=G75,1,0)</f>
        <v>1</v>
      </c>
      <c r="P76" s="9" t="s">
        <v>21</v>
      </c>
      <c r="Q76" s="31">
        <f>T76*S76</f>
        <v>110</v>
      </c>
      <c r="R76" s="24" t="s">
        <v>17</v>
      </c>
      <c r="S76" s="53">
        <v>1.375</v>
      </c>
      <c r="T76" s="43">
        <v>80</v>
      </c>
      <c r="U76" s="31"/>
      <c r="V76" s="24" t="s">
        <v>17</v>
      </c>
      <c r="W76" s="9"/>
      <c r="X76" s="9"/>
    </row>
    <row r="77" spans="1:24" s="2" customFormat="1" ht="15.6" hidden="1" x14ac:dyDescent="0.3">
      <c r="A77" s="34"/>
      <c r="F77" s="27"/>
      <c r="G77" s="39"/>
      <c r="H77" s="40"/>
      <c r="I77" s="39"/>
      <c r="J77" s="32"/>
      <c r="M77" s="35"/>
      <c r="N77" s="24" t="s">
        <v>25</v>
      </c>
      <c r="O77" s="2">
        <f>IF(N77=G75,1,0)</f>
        <v>0</v>
      </c>
      <c r="P77" s="9" t="s">
        <v>22</v>
      </c>
      <c r="Q77" s="31">
        <f>T77*S77</f>
        <v>192.5</v>
      </c>
      <c r="R77" s="24" t="s">
        <v>17</v>
      </c>
      <c r="S77" s="53">
        <v>1.375</v>
      </c>
      <c r="T77" s="42">
        <v>140</v>
      </c>
      <c r="U77" s="27"/>
      <c r="V77" s="24" t="s">
        <v>17</v>
      </c>
      <c r="W77" s="9"/>
      <c r="X77" s="9"/>
    </row>
    <row r="78" spans="1:24" s="2" customFormat="1" ht="18" hidden="1" x14ac:dyDescent="0.35">
      <c r="A78" s="34"/>
      <c r="F78" s="36"/>
      <c r="G78" s="36"/>
      <c r="H78" s="36"/>
      <c r="I78" s="36"/>
      <c r="J78" s="36"/>
      <c r="M78" s="35"/>
      <c r="N78" s="48"/>
      <c r="O78" s="2">
        <f>SUM(O75:O77)</f>
        <v>1</v>
      </c>
      <c r="P78" s="9">
        <f>SUM(P75:P77)</f>
        <v>0</v>
      </c>
      <c r="Q78" s="27"/>
      <c r="R78" s="9"/>
      <c r="S78" s="9"/>
      <c r="T78" s="9"/>
      <c r="U78" s="9"/>
      <c r="V78" s="9"/>
      <c r="W78" s="9"/>
      <c r="X78" s="9"/>
    </row>
    <row r="79" spans="1:24" ht="9" customHeight="1" x14ac:dyDescent="0.3">
      <c r="A79" s="7"/>
      <c r="H79" s="15"/>
      <c r="I79" s="23"/>
      <c r="J79" s="16"/>
      <c r="M79" s="10"/>
      <c r="N79" s="32"/>
    </row>
    <row r="80" spans="1:24" ht="44.25" customHeight="1" x14ac:dyDescent="0.3">
      <c r="A80" s="7"/>
      <c r="B80" s="65" t="str">
        <f>IF(G59&gt;12,"","Maximum surface of the underfloor installation manageable by each pump unit, with a heat drop proportionate to the selected class of insulation:")</f>
        <v/>
      </c>
      <c r="C80" s="65"/>
      <c r="D80" s="65"/>
      <c r="E80" s="65"/>
      <c r="F80" s="65"/>
      <c r="G80" s="65"/>
      <c r="H80" s="65"/>
      <c r="I80" s="52" t="str">
        <f>IF(G59&gt;12,"",IF(G58=0,"- -",IF(G59&lt;=12,IF(O75=1,E62*1000/Q75,IF(O76=1,E62*1000/Q76,IF(O77=1,E62*1000/Q77,"- -"))),"- - ")))</f>
        <v/>
      </c>
      <c r="J80" s="29" t="str">
        <f>IF(G59&gt;12,"","m2")</f>
        <v/>
      </c>
      <c r="M80" s="10"/>
      <c r="N80" s="50"/>
      <c r="Q80" s="27"/>
    </row>
    <row r="81" spans="1:24" ht="10.5" customHeight="1" x14ac:dyDescent="0.3">
      <c r="A81" s="17"/>
      <c r="B81" s="18"/>
      <c r="C81" s="18"/>
      <c r="D81" s="18"/>
      <c r="E81" s="18"/>
      <c r="F81" s="19"/>
      <c r="G81" s="18"/>
      <c r="H81" s="18"/>
      <c r="I81" s="19"/>
      <c r="J81" s="19"/>
      <c r="K81" s="18"/>
      <c r="L81" s="18"/>
      <c r="M81" s="20"/>
    </row>
    <row r="82" spans="1:24" ht="11.25" customHeight="1" x14ac:dyDescent="0.3"/>
    <row r="83" spans="1:24" ht="10.5" customHeight="1" x14ac:dyDescent="0.3">
      <c r="A83" s="3"/>
      <c r="B83" s="4"/>
      <c r="C83" s="4"/>
      <c r="D83" s="4"/>
      <c r="E83" s="4"/>
      <c r="F83" s="5"/>
      <c r="G83" s="4"/>
      <c r="H83" s="4"/>
      <c r="I83" s="5"/>
      <c r="J83" s="5"/>
      <c r="K83" s="4"/>
      <c r="L83" s="4"/>
      <c r="M83" s="6"/>
      <c r="Q83" s="53"/>
      <c r="R83" s="44"/>
      <c r="S83" s="44"/>
      <c r="T83" s="44"/>
      <c r="U83" s="44"/>
    </row>
    <row r="84" spans="1:24" ht="15.6" x14ac:dyDescent="0.3">
      <c r="A84" s="7"/>
      <c r="B84" s="8" t="s">
        <v>82</v>
      </c>
      <c r="G84" s="70" t="s">
        <v>33</v>
      </c>
      <c r="H84" s="70"/>
      <c r="I84" s="70"/>
      <c r="J84" s="70"/>
      <c r="M84" s="10"/>
      <c r="N84" s="47" t="s">
        <v>33</v>
      </c>
      <c r="O84" s="2">
        <f>IF(G84=N84,1,0)</f>
        <v>1</v>
      </c>
      <c r="P84" s="9" t="s">
        <v>15</v>
      </c>
      <c r="Q84" s="41">
        <v>6</v>
      </c>
      <c r="R84" s="44">
        <v>4.0999999999999996</v>
      </c>
      <c r="S84" s="44">
        <v>2284</v>
      </c>
      <c r="T84" s="44">
        <v>1770</v>
      </c>
      <c r="U84" s="44">
        <v>1511</v>
      </c>
      <c r="V84" s="45">
        <f>S84*$G96/860</f>
        <v>53.116279069767444</v>
      </c>
      <c r="W84" s="45">
        <f>T84*$G96/860</f>
        <v>41.162790697674417</v>
      </c>
      <c r="X84" s="45">
        <f>U84*$G96/860</f>
        <v>35.139534883720927</v>
      </c>
    </row>
    <row r="85" spans="1:24" s="2" customFormat="1" ht="15.6" hidden="1" x14ac:dyDescent="0.3">
      <c r="A85" s="34"/>
      <c r="B85" s="37"/>
      <c r="F85" s="9"/>
      <c r="G85" s="9"/>
      <c r="I85" s="9"/>
      <c r="J85" s="9"/>
      <c r="M85" s="35"/>
      <c r="N85" s="47" t="s">
        <v>34</v>
      </c>
      <c r="O85" s="2">
        <f>IF(G84=N85,1,0)</f>
        <v>0</v>
      </c>
      <c r="P85" s="9" t="s">
        <v>15</v>
      </c>
      <c r="Q85" s="41">
        <v>2.7</v>
      </c>
      <c r="R85" s="44">
        <v>5</v>
      </c>
      <c r="S85" s="44">
        <v>1363</v>
      </c>
      <c r="T85" s="44">
        <v>1060</v>
      </c>
      <c r="U85" s="44">
        <v>885</v>
      </c>
      <c r="V85" s="45">
        <f>S85*$G96/860</f>
        <v>31.697674418604652</v>
      </c>
      <c r="W85" s="45">
        <f>T85*$G96/860</f>
        <v>24.651162790697676</v>
      </c>
      <c r="X85" s="45">
        <f>U85*$G96/860</f>
        <v>20.581395348837209</v>
      </c>
    </row>
    <row r="86" spans="1:24" s="2" customFormat="1" ht="15.6" hidden="1" x14ac:dyDescent="0.3">
      <c r="A86" s="34"/>
      <c r="B86" s="37"/>
      <c r="F86" s="9"/>
      <c r="G86" s="9"/>
      <c r="I86" s="9"/>
      <c r="J86" s="9"/>
      <c r="M86" s="35"/>
      <c r="N86" s="47" t="s">
        <v>35</v>
      </c>
      <c r="O86" s="2">
        <f>IF(G84=N86,1,0)</f>
        <v>0</v>
      </c>
      <c r="P86" s="9" t="s">
        <v>15</v>
      </c>
      <c r="Q86" s="41">
        <v>3.8</v>
      </c>
      <c r="R86" s="44">
        <v>5</v>
      </c>
      <c r="S86" s="44">
        <v>1673</v>
      </c>
      <c r="T86" s="44">
        <v>1261</v>
      </c>
      <c r="U86" s="44">
        <v>1039</v>
      </c>
      <c r="V86" s="45">
        <f>S86*$G96/860</f>
        <v>38.906976744186046</v>
      </c>
      <c r="W86" s="45">
        <f>T86*$G96/860</f>
        <v>29.325581395348838</v>
      </c>
      <c r="X86" s="45">
        <f>U86*$G96/860</f>
        <v>24.162790697674417</v>
      </c>
    </row>
    <row r="87" spans="1:24" s="2" customFormat="1" ht="15.6" hidden="1" x14ac:dyDescent="0.3">
      <c r="A87" s="34"/>
      <c r="B87" s="37"/>
      <c r="F87" s="9"/>
      <c r="G87" s="9"/>
      <c r="I87" s="9"/>
      <c r="J87" s="9"/>
      <c r="M87" s="35"/>
      <c r="N87" s="47" t="s">
        <v>26</v>
      </c>
      <c r="O87" s="2">
        <f>IF(G84=N87,1,0)</f>
        <v>0</v>
      </c>
      <c r="P87" s="9" t="s">
        <v>15</v>
      </c>
      <c r="Q87" s="41">
        <v>4</v>
      </c>
      <c r="R87" s="44">
        <v>4.5</v>
      </c>
      <c r="S87" s="44">
        <v>1826</v>
      </c>
      <c r="T87" s="44">
        <v>1416</v>
      </c>
      <c r="U87" s="44">
        <v>1199</v>
      </c>
      <c r="V87" s="45">
        <f>S87*$G96/860</f>
        <v>42.465116279069768</v>
      </c>
      <c r="W87" s="45">
        <f>T87*$G96/860</f>
        <v>32.930232558139537</v>
      </c>
      <c r="X87" s="45">
        <f>U87*$G96/860</f>
        <v>27.88372093023256</v>
      </c>
    </row>
    <row r="88" spans="1:24" s="2" customFormat="1" ht="15.6" hidden="1" x14ac:dyDescent="0.3">
      <c r="A88" s="34"/>
      <c r="B88" s="37"/>
      <c r="F88" s="9"/>
      <c r="G88" s="9"/>
      <c r="I88" s="9"/>
      <c r="J88" s="9"/>
      <c r="M88" s="35"/>
      <c r="N88" s="47" t="s">
        <v>27</v>
      </c>
      <c r="O88" s="2">
        <f>IF(G84=N88,1,0)</f>
        <v>0</v>
      </c>
      <c r="P88" s="9" t="s">
        <v>15</v>
      </c>
      <c r="Q88" s="41">
        <v>5.5</v>
      </c>
      <c r="R88" s="44">
        <v>4.5</v>
      </c>
      <c r="S88" s="44">
        <v>1950</v>
      </c>
      <c r="T88" s="44">
        <v>1601</v>
      </c>
      <c r="U88" s="44">
        <v>1343</v>
      </c>
      <c r="V88" s="45">
        <f>S88*$G96/860</f>
        <v>45.348837209302324</v>
      </c>
      <c r="W88" s="45">
        <f t="shared" ref="W88:X88" si="12">T88*$G96/860</f>
        <v>37.232558139534881</v>
      </c>
      <c r="X88" s="45">
        <f t="shared" si="12"/>
        <v>31.232558139534884</v>
      </c>
    </row>
    <row r="89" spans="1:24" s="2" customFormat="1" ht="15.6" hidden="1" x14ac:dyDescent="0.3">
      <c r="A89" s="34"/>
      <c r="B89" s="37"/>
      <c r="F89" s="9"/>
      <c r="G89" s="9"/>
      <c r="I89" s="9"/>
      <c r="J89" s="9"/>
      <c r="M89" s="35"/>
      <c r="N89" s="47" t="s">
        <v>28</v>
      </c>
      <c r="O89" s="2">
        <f>IF(G84=N89,1,0)</f>
        <v>0</v>
      </c>
      <c r="P89" s="9" t="s">
        <v>15</v>
      </c>
      <c r="Q89" s="41">
        <v>2</v>
      </c>
      <c r="R89" s="44">
        <v>5</v>
      </c>
      <c r="S89" s="44">
        <v>1010</v>
      </c>
      <c r="T89" s="44">
        <v>880</v>
      </c>
      <c r="U89" s="44">
        <v>714</v>
      </c>
      <c r="V89" s="45">
        <f>S89*$G96/860</f>
        <v>23.488372093023255</v>
      </c>
      <c r="W89" s="45">
        <f t="shared" ref="W89:X89" si="13">T89*$G96/860</f>
        <v>20.465116279069768</v>
      </c>
      <c r="X89" s="45">
        <f t="shared" si="13"/>
        <v>16.604651162790699</v>
      </c>
    </row>
    <row r="90" spans="1:24" s="2" customFormat="1" ht="15.6" hidden="1" x14ac:dyDescent="0.3">
      <c r="A90" s="34"/>
      <c r="B90" s="37"/>
      <c r="F90" s="9"/>
      <c r="G90" s="9"/>
      <c r="I90" s="9"/>
      <c r="J90" s="9"/>
      <c r="M90" s="35"/>
      <c r="N90" s="47" t="s">
        <v>29</v>
      </c>
      <c r="O90" s="2">
        <f>IF(G84=N90,1,0)</f>
        <v>0</v>
      </c>
      <c r="P90" s="9" t="s">
        <v>15</v>
      </c>
      <c r="Q90" s="41">
        <v>2.4</v>
      </c>
      <c r="R90" s="44">
        <v>5</v>
      </c>
      <c r="S90" s="44">
        <v>1212</v>
      </c>
      <c r="T90" s="44">
        <v>989</v>
      </c>
      <c r="U90" s="44">
        <v>829</v>
      </c>
      <c r="V90" s="45">
        <f>S90*$G96/860</f>
        <v>28.186046511627907</v>
      </c>
      <c r="W90" s="45">
        <f t="shared" ref="W90:X90" si="14">T90*$G96/860</f>
        <v>23</v>
      </c>
      <c r="X90" s="45">
        <f t="shared" si="14"/>
        <v>19.279069767441861</v>
      </c>
    </row>
    <row r="91" spans="1:24" s="2" customFormat="1" ht="15.6" hidden="1" x14ac:dyDescent="0.3">
      <c r="A91" s="34"/>
      <c r="B91" s="37"/>
      <c r="F91" s="9"/>
      <c r="G91" s="9"/>
      <c r="I91" s="9"/>
      <c r="J91" s="9"/>
      <c r="M91" s="35"/>
      <c r="N91" s="47" t="s">
        <v>30</v>
      </c>
      <c r="O91" s="2">
        <f>IF(G84=N91,1,0)</f>
        <v>0</v>
      </c>
      <c r="P91" s="9" t="s">
        <v>15</v>
      </c>
      <c r="Q91" s="41">
        <v>3.1</v>
      </c>
      <c r="R91" s="44">
        <v>5</v>
      </c>
      <c r="S91" s="44">
        <v>1497</v>
      </c>
      <c r="T91" s="44">
        <v>1143</v>
      </c>
      <c r="U91" s="44">
        <v>949</v>
      </c>
      <c r="V91" s="45">
        <f>S91*$G96/860</f>
        <v>34.813953488372093</v>
      </c>
      <c r="W91" s="45">
        <f t="shared" ref="W91:X91" si="15">T91*$G96/860</f>
        <v>26.581395348837209</v>
      </c>
      <c r="X91" s="45">
        <f t="shared" si="15"/>
        <v>22.069767441860463</v>
      </c>
    </row>
    <row r="92" spans="1:24" s="2" customFormat="1" ht="15.6" hidden="1" x14ac:dyDescent="0.3">
      <c r="A92" s="34"/>
      <c r="B92" s="37"/>
      <c r="F92" s="9"/>
      <c r="G92" s="9"/>
      <c r="I92" s="9"/>
      <c r="J92" s="9"/>
      <c r="M92" s="35"/>
      <c r="N92" s="47" t="s">
        <v>31</v>
      </c>
      <c r="O92" s="2">
        <f>IF(G84=N92,1,0)</f>
        <v>0</v>
      </c>
      <c r="P92" s="9" t="s">
        <v>15</v>
      </c>
      <c r="Q92" s="41">
        <v>1.7</v>
      </c>
      <c r="R92" s="44">
        <v>5</v>
      </c>
      <c r="S92" s="44">
        <v>858</v>
      </c>
      <c r="T92" s="44">
        <v>781</v>
      </c>
      <c r="U92" s="44">
        <v>607</v>
      </c>
      <c r="V92" s="45">
        <f>S92*$G96/860</f>
        <v>19.953488372093023</v>
      </c>
      <c r="W92" s="45">
        <f t="shared" ref="W92:X92" si="16">T92*$G96/860</f>
        <v>18.162790697674417</v>
      </c>
      <c r="X92" s="45">
        <f t="shared" si="16"/>
        <v>14.116279069767442</v>
      </c>
    </row>
    <row r="93" spans="1:24" s="2" customFormat="1" ht="15.6" hidden="1" x14ac:dyDescent="0.3">
      <c r="A93" s="34"/>
      <c r="B93" s="37"/>
      <c r="F93" s="9"/>
      <c r="G93" s="9"/>
      <c r="I93" s="9"/>
      <c r="J93" s="9"/>
      <c r="M93" s="35"/>
      <c r="N93" s="47" t="s">
        <v>32</v>
      </c>
      <c r="O93" s="2">
        <f>IF(G84=N93,1,0)</f>
        <v>0</v>
      </c>
      <c r="P93" s="9" t="s">
        <v>15</v>
      </c>
      <c r="Q93" s="41">
        <v>1.9</v>
      </c>
      <c r="R93" s="44">
        <v>5</v>
      </c>
      <c r="S93" s="44">
        <v>1000</v>
      </c>
      <c r="T93" s="44">
        <v>850</v>
      </c>
      <c r="U93" s="44">
        <v>678</v>
      </c>
      <c r="V93" s="45">
        <f>S93*$G96/860</f>
        <v>23.255813953488371</v>
      </c>
      <c r="W93" s="45">
        <f t="shared" ref="W93:X93" si="17">T93*$G96/860</f>
        <v>19.767441860465116</v>
      </c>
      <c r="X93" s="45">
        <f t="shared" si="17"/>
        <v>15.767441860465116</v>
      </c>
    </row>
    <row r="94" spans="1:24" ht="8.25" customHeight="1" x14ac:dyDescent="0.35">
      <c r="A94" s="7"/>
      <c r="F94" s="33"/>
      <c r="G94" s="33"/>
      <c r="H94" s="33"/>
      <c r="I94" s="33"/>
      <c r="J94" s="33"/>
      <c r="M94" s="10"/>
      <c r="N94" s="48"/>
    </row>
    <row r="95" spans="1:24" x14ac:dyDescent="0.3">
      <c r="A95" s="7"/>
      <c r="B95" t="s">
        <v>83</v>
      </c>
      <c r="G95" s="61">
        <v>0</v>
      </c>
      <c r="H95" s="77" t="str">
        <f>IF(G21+G58+G95&gt;3,"Maximum number of pump units in total = 3","")</f>
        <v/>
      </c>
      <c r="I95" s="77"/>
      <c r="J95" s="77"/>
      <c r="K95" s="77"/>
      <c r="L95" s="77"/>
      <c r="M95" s="10"/>
      <c r="O95" s="2">
        <v>0</v>
      </c>
    </row>
    <row r="96" spans="1:24" x14ac:dyDescent="0.3">
      <c r="A96" s="7"/>
      <c r="B96" t="s">
        <v>94</v>
      </c>
      <c r="G96" s="61">
        <v>20</v>
      </c>
      <c r="H96" t="s">
        <v>1</v>
      </c>
      <c r="M96" s="10"/>
      <c r="N96" s="49"/>
      <c r="O96" s="2">
        <v>1</v>
      </c>
    </row>
    <row r="97" spans="1:24" ht="15.6" x14ac:dyDescent="0.3">
      <c r="A97" s="7"/>
      <c r="B97" t="s">
        <v>84</v>
      </c>
      <c r="G97" s="61">
        <v>1000</v>
      </c>
      <c r="H97" s="22" t="s">
        <v>2</v>
      </c>
      <c r="I97" s="8"/>
      <c r="J97" s="8"/>
      <c r="K97" s="51"/>
      <c r="L97" s="25"/>
      <c r="M97" s="10"/>
      <c r="N97" s="49"/>
      <c r="O97" s="2">
        <v>2</v>
      </c>
      <c r="P97" s="54"/>
      <c r="Q97" s="11"/>
      <c r="R97" s="11"/>
      <c r="S97" s="11"/>
      <c r="T97" s="11"/>
      <c r="U97" s="11"/>
      <c r="V97" s="11"/>
      <c r="W97" s="11"/>
      <c r="X97" s="11"/>
    </row>
    <row r="98" spans="1:24" x14ac:dyDescent="0.3">
      <c r="A98" s="7"/>
      <c r="L98" s="12" t="s">
        <v>85</v>
      </c>
      <c r="M98" s="10"/>
      <c r="N98" s="49"/>
      <c r="O98" s="2">
        <v>3</v>
      </c>
    </row>
    <row r="99" spans="1:24" ht="15.6" x14ac:dyDescent="0.3">
      <c r="A99" s="7"/>
      <c r="B99" s="13" t="s">
        <v>86</v>
      </c>
      <c r="E99" s="30" t="str">
        <f>IF(G95=0,"- -",G97*G96/860)</f>
        <v>- -</v>
      </c>
      <c r="F99" s="21" t="s">
        <v>0</v>
      </c>
      <c r="H99" s="64" t="s">
        <v>88</v>
      </c>
      <c r="I99" s="56" t="str">
        <f>IF(G95=0,"- -",IF(AND(O84=1,O101=1),V84,IF(AND(O84=1,O102=1),W84,IF(AND(O84=1,O103=1),X84,IF(AND(O85=1,O101=1),V85,IF(AND(O85=1,O102=1),W85,IF(AND(O85=1,O103=1),X85,IF(AND(O86=1,O101=1),V86,IF(AND(O86=1,O102=1),W86,IF(AND(O86=1,O103=1),X86,IF(AND(O87=1,O101=1),V87,IF(AND(O87=1,O102=1),W87,IF(AND(O87=1,O103=1),X87,IF(AND(O88=1,O101=1),V88,IF(AND(O88=1,O102=1),W88,IF(AND(O88=1,O103=1),X88,IF(AND(O89=1,O101=1),V89,IF(AND(O89=1,O102=1),W89,IF(AND(O89=1,O103=1),X89,IF(AND(O90=1,O101=1),V90,IF(AND(O90=1,O102=1),W90,IF(AND(O90=1,O103=1),X90,IF(AND(O91=1,O101=1),V91,IF(AND(O91=1,O102=1),W91,IF(AND(O91=1,O103=1),X91,IF(AND(O92=1,O101=1),V92,IF(AND(O92=1,O102=1),W92,IF(AND(O92=1,O103=1),X92,IF(AND(O93=1,O101=1),V93,IF(AND(O93=1,O102=1),W93,IF(AND(O93=1,O103=1),X93,"Errore")))))))))))))))))))))))))))))))</f>
        <v>- -</v>
      </c>
      <c r="J99" s="59" t="s">
        <v>18</v>
      </c>
      <c r="K99" s="30" t="str">
        <f>IF(G95=0,"- -",G95*E99)</f>
        <v>- -</v>
      </c>
      <c r="L99" s="21" t="s">
        <v>0</v>
      </c>
      <c r="M99" s="10"/>
      <c r="N99" s="60" t="e">
        <f>E99/I99-1</f>
        <v>#VALUE!</v>
      </c>
      <c r="P99" s="28"/>
      <c r="Q99" s="24"/>
      <c r="S99" s="54" t="s">
        <v>13</v>
      </c>
      <c r="T99" s="54" t="s">
        <v>14</v>
      </c>
      <c r="U99" s="54"/>
    </row>
    <row r="100" spans="1:24" x14ac:dyDescent="0.3">
      <c r="A100" s="7"/>
      <c r="M100" s="10"/>
      <c r="P100" s="54" t="s">
        <v>11</v>
      </c>
      <c r="Q100" s="54" t="s">
        <v>10</v>
      </c>
      <c r="R100" s="54" t="s">
        <v>9</v>
      </c>
      <c r="S100" s="54" t="s">
        <v>12</v>
      </c>
      <c r="T100" s="54" t="s">
        <v>12</v>
      </c>
      <c r="U100" s="54"/>
      <c r="V100" s="54" t="s">
        <v>7</v>
      </c>
      <c r="W100" s="54" t="s">
        <v>8</v>
      </c>
      <c r="X100" s="54"/>
    </row>
    <row r="101" spans="1:24" x14ac:dyDescent="0.3">
      <c r="A101" s="7"/>
      <c r="B101" t="s">
        <v>87</v>
      </c>
      <c r="G101" s="68" t="s">
        <v>6</v>
      </c>
      <c r="H101" s="68"/>
      <c r="I101" s="68"/>
      <c r="J101" s="68"/>
      <c r="M101" s="10"/>
      <c r="N101" s="2" t="s">
        <v>6</v>
      </c>
      <c r="O101" s="2">
        <f>IF(N101=G101,1,0)</f>
        <v>1</v>
      </c>
      <c r="P101" s="9">
        <f>IF(O101=1,1,"")</f>
        <v>1</v>
      </c>
      <c r="Q101" s="9">
        <f>IF(O101=1,IF(G97&gt;=R101,2,1),"")</f>
        <v>1</v>
      </c>
      <c r="R101" s="53">
        <v>1400</v>
      </c>
      <c r="S101" s="53">
        <v>-2.2857099999999998E-3</v>
      </c>
      <c r="T101" s="53">
        <v>10.8</v>
      </c>
      <c r="V101" s="53">
        <v>7.6</v>
      </c>
      <c r="W101" s="9">
        <f>G97*S101+T101</f>
        <v>8.5142900000000008</v>
      </c>
    </row>
    <row r="102" spans="1:24" s="2" customFormat="1" hidden="1" x14ac:dyDescent="0.3">
      <c r="A102" s="34"/>
      <c r="F102" s="9"/>
      <c r="G102" s="9"/>
      <c r="I102" s="9"/>
      <c r="J102" s="9"/>
      <c r="M102" s="35"/>
      <c r="N102" s="2" t="s">
        <v>4</v>
      </c>
      <c r="O102" s="2">
        <f>IF(N102=G101,1,0)</f>
        <v>0</v>
      </c>
      <c r="P102" s="9" t="str">
        <f>IF(O102=1,2,"")</f>
        <v/>
      </c>
      <c r="Q102" s="9" t="str">
        <f>IF(O102=1,IF(G97&gt;=R102,2,1),"")</f>
        <v/>
      </c>
      <c r="R102" s="53">
        <v>800</v>
      </c>
      <c r="S102" s="53">
        <v>-2.23077E-3</v>
      </c>
      <c r="T102" s="53">
        <v>8.9350000000000005</v>
      </c>
      <c r="U102" s="9"/>
      <c r="V102" s="53">
        <v>7.15</v>
      </c>
      <c r="W102" s="9">
        <f>G97*S102+T102</f>
        <v>6.7042300000000008</v>
      </c>
      <c r="X102" s="9"/>
    </row>
    <row r="103" spans="1:24" s="2" customFormat="1" hidden="1" x14ac:dyDescent="0.3">
      <c r="A103" s="34"/>
      <c r="F103" s="9"/>
      <c r="G103" s="9"/>
      <c r="I103" s="9"/>
      <c r="J103" s="9"/>
      <c r="M103" s="35"/>
      <c r="N103" s="2" t="s">
        <v>3</v>
      </c>
      <c r="O103" s="2">
        <f>IF(N103=G101,1,0)</f>
        <v>0</v>
      </c>
      <c r="P103" s="9" t="str">
        <f>IF(O103=1,3,"")</f>
        <v/>
      </c>
      <c r="Q103" s="9" t="str">
        <f>IF(O103=1,IF(G97&gt;=R103,2,1),"")</f>
        <v/>
      </c>
      <c r="R103" s="53">
        <v>800</v>
      </c>
      <c r="S103" s="53">
        <v>-2.1538400000000002E-3</v>
      </c>
      <c r="T103" s="53">
        <v>8</v>
      </c>
      <c r="U103" s="9"/>
      <c r="V103" s="53">
        <v>6.3</v>
      </c>
      <c r="W103" s="9">
        <f>G97*S103+T103</f>
        <v>5.8461599999999994</v>
      </c>
      <c r="X103" s="9"/>
    </row>
    <row r="104" spans="1:24" s="2" customFormat="1" ht="18" hidden="1" x14ac:dyDescent="0.35">
      <c r="A104" s="34"/>
      <c r="F104" s="36"/>
      <c r="G104" s="36"/>
      <c r="H104" s="36"/>
      <c r="I104" s="36"/>
      <c r="J104" s="36"/>
      <c r="M104" s="35"/>
      <c r="N104" s="48"/>
      <c r="O104" s="2">
        <f>SUM(O101:O103)</f>
        <v>1</v>
      </c>
      <c r="P104" s="9">
        <f>SUM(P101:P103)</f>
        <v>1</v>
      </c>
      <c r="Q104" s="9">
        <f>SUM(Q101:Q103)</f>
        <v>1</v>
      </c>
      <c r="R104" s="9"/>
      <c r="S104" s="9"/>
      <c r="T104" s="9"/>
      <c r="U104" s="9"/>
      <c r="V104" s="9"/>
      <c r="W104" s="9"/>
      <c r="X104" s="9"/>
    </row>
    <row r="105" spans="1:24" ht="8.25" customHeight="1" x14ac:dyDescent="0.3">
      <c r="A105" s="7"/>
      <c r="M105" s="10"/>
    </row>
    <row r="106" spans="1:24" x14ac:dyDescent="0.3">
      <c r="A106" s="7"/>
      <c r="H106" s="14" t="s">
        <v>89</v>
      </c>
      <c r="I106" s="26" t="str">
        <f>IF(G95=0,"- -",IF(O104=1,IF(AND(P104=1,Q104=1),V101,IF(AND(P104=1,Q104=2),W101,IF(AND(P104=2,Q104=1),V102,IF(AND(P104=2,Q104=2),W102,IF(AND(P104=3,Q104=1),V103,IF(AND(P104=3,Q104=2),W103,"Errore")))))),"- -"))</f>
        <v>- -</v>
      </c>
      <c r="J106" t="s">
        <v>5</v>
      </c>
      <c r="M106" s="10"/>
    </row>
    <row r="107" spans="1:24" x14ac:dyDescent="0.3">
      <c r="A107" s="7"/>
      <c r="H107" s="14" t="s">
        <v>90</v>
      </c>
      <c r="I107" s="26" t="str">
        <f>IF(G95=0,"- -",IF(O104=1,IF(S107&lt;0.2,0.2,S107),"- -"))</f>
        <v>- -</v>
      </c>
      <c r="J107" t="s">
        <v>5</v>
      </c>
      <c r="M107" s="10"/>
      <c r="P107" s="9" t="s">
        <v>15</v>
      </c>
      <c r="Q107" s="24">
        <f>IF(O84=1,Q84,IF(O85=1,Q85,IF(O86=1,Q86,IF(O87=1,Q87,IF(O88=1,Q88,IF(O89=1,Q89,IF(O90=1,Q90,IF(O91=1,Q91,IF(O91=1,Q91,IF(O92=1,Q92,IF(O93=1,Q93,"Errore!")))))))))))</f>
        <v>6</v>
      </c>
      <c r="R107" s="28" t="s">
        <v>16</v>
      </c>
      <c r="S107" s="9">
        <f>(G97/1000/Q107)^2*10.198</f>
        <v>0.28327777777777779</v>
      </c>
    </row>
    <row r="108" spans="1:24" ht="15.6" x14ac:dyDescent="0.3">
      <c r="A108" s="7"/>
      <c r="H108" s="15" t="s">
        <v>91</v>
      </c>
      <c r="I108" s="23" t="str">
        <f>IF(G95=0,"- -",IF(O104=1,I106-I107,"- -"))</f>
        <v>- -</v>
      </c>
      <c r="J108" s="16" t="s">
        <v>5</v>
      </c>
      <c r="K108" s="46"/>
      <c r="M108" s="10"/>
      <c r="N108" s="32"/>
    </row>
    <row r="109" spans="1:24" ht="9" customHeight="1" x14ac:dyDescent="0.3">
      <c r="A109" s="7"/>
      <c r="H109" s="15"/>
      <c r="I109" s="23"/>
      <c r="J109" s="16"/>
      <c r="M109" s="10"/>
      <c r="N109" s="32"/>
    </row>
    <row r="110" spans="1:24" ht="15.6" x14ac:dyDescent="0.3">
      <c r="A110" s="7"/>
      <c r="B110" s="13" t="str">
        <f>IF(G96&lt;=12,"Underfoor calculation:","Underfoor calculation not available if Δt &gt; 12 K")</f>
        <v>Underfoor calculation not available if Δt &gt; 12 K</v>
      </c>
      <c r="H110" s="15"/>
      <c r="I110" s="23"/>
      <c r="J110" s="16"/>
      <c r="M110" s="10"/>
      <c r="N110" s="32"/>
      <c r="S110" s="54" t="s">
        <v>19</v>
      </c>
    </row>
    <row r="111" spans="1:24" ht="9" customHeight="1" x14ac:dyDescent="0.3">
      <c r="A111" s="7"/>
      <c r="H111" s="15"/>
      <c r="I111" s="23"/>
      <c r="J111" s="16"/>
      <c r="M111" s="10"/>
      <c r="N111" s="32"/>
    </row>
    <row r="112" spans="1:24" x14ac:dyDescent="0.3">
      <c r="A112" s="7"/>
      <c r="B112" t="s">
        <v>92</v>
      </c>
      <c r="F112" s="14"/>
      <c r="G112" s="62" t="s">
        <v>24</v>
      </c>
      <c r="I112" s="38" t="str">
        <f>IF(G96&gt;12,"","Use Δt =")</f>
        <v/>
      </c>
      <c r="J112" s="16" t="str">
        <f>IF(G96&gt;12,"",IF(G112=N112,P112,IF(G112=N113,P113,IF(G112=N114,P114,""))))</f>
        <v/>
      </c>
      <c r="M112" s="10"/>
      <c r="N112" s="24" t="s">
        <v>23</v>
      </c>
      <c r="O112" s="2">
        <f>IF(N112=G112,1,0)</f>
        <v>0</v>
      </c>
      <c r="P112" s="9" t="s">
        <v>20</v>
      </c>
      <c r="Q112" s="31">
        <f>T112*S112</f>
        <v>34.375</v>
      </c>
      <c r="R112" s="24" t="s">
        <v>17</v>
      </c>
      <c r="S112" s="53">
        <v>1.375</v>
      </c>
      <c r="T112" s="42">
        <v>25</v>
      </c>
      <c r="U112" s="27"/>
      <c r="V112" s="24" t="s">
        <v>17</v>
      </c>
    </row>
    <row r="113" spans="1:24" s="2" customFormat="1" ht="15.6" hidden="1" x14ac:dyDescent="0.3">
      <c r="A113" s="34"/>
      <c r="F113" s="27"/>
      <c r="G113" s="39"/>
      <c r="H113" s="40"/>
      <c r="I113" s="39"/>
      <c r="J113" s="32"/>
      <c r="M113" s="35"/>
      <c r="N113" s="24" t="s">
        <v>24</v>
      </c>
      <c r="O113" s="2">
        <f>IF(N113=G112,1,0)</f>
        <v>1</v>
      </c>
      <c r="P113" s="9" t="s">
        <v>21</v>
      </c>
      <c r="Q113" s="31">
        <f>T113*S113</f>
        <v>110</v>
      </c>
      <c r="R113" s="24" t="s">
        <v>17</v>
      </c>
      <c r="S113" s="53">
        <v>1.375</v>
      </c>
      <c r="T113" s="43">
        <v>80</v>
      </c>
      <c r="U113" s="31"/>
      <c r="V113" s="24" t="s">
        <v>17</v>
      </c>
      <c r="W113" s="9"/>
      <c r="X113" s="9"/>
    </row>
    <row r="114" spans="1:24" s="2" customFormat="1" ht="15.6" hidden="1" x14ac:dyDescent="0.3">
      <c r="A114" s="34"/>
      <c r="F114" s="27"/>
      <c r="G114" s="39"/>
      <c r="H114" s="40"/>
      <c r="I114" s="39"/>
      <c r="J114" s="32"/>
      <c r="M114" s="35"/>
      <c r="N114" s="24" t="s">
        <v>25</v>
      </c>
      <c r="O114" s="2">
        <f>IF(N114=G112,1,0)</f>
        <v>0</v>
      </c>
      <c r="P114" s="9" t="s">
        <v>22</v>
      </c>
      <c r="Q114" s="31">
        <f>T114*S114</f>
        <v>192.5</v>
      </c>
      <c r="R114" s="24" t="s">
        <v>17</v>
      </c>
      <c r="S114" s="53">
        <v>1.375</v>
      </c>
      <c r="T114" s="42">
        <v>140</v>
      </c>
      <c r="U114" s="27"/>
      <c r="V114" s="24" t="s">
        <v>17</v>
      </c>
      <c r="W114" s="9"/>
      <c r="X114" s="9"/>
    </row>
    <row r="115" spans="1:24" s="2" customFormat="1" ht="18" hidden="1" x14ac:dyDescent="0.35">
      <c r="A115" s="34"/>
      <c r="F115" s="36"/>
      <c r="G115" s="36"/>
      <c r="H115" s="36"/>
      <c r="I115" s="36"/>
      <c r="J115" s="36"/>
      <c r="M115" s="35"/>
      <c r="N115" s="48"/>
      <c r="O115" s="2">
        <f>SUM(O112:O114)</f>
        <v>1</v>
      </c>
      <c r="P115" s="9">
        <f>SUM(P112:P114)</f>
        <v>0</v>
      </c>
      <c r="Q115" s="27"/>
      <c r="R115" s="9"/>
      <c r="S115" s="9"/>
      <c r="T115" s="9"/>
      <c r="U115" s="9"/>
      <c r="V115" s="9"/>
      <c r="W115" s="9"/>
      <c r="X115" s="9"/>
    </row>
    <row r="116" spans="1:24" ht="9" customHeight="1" x14ac:dyDescent="0.3">
      <c r="A116" s="7"/>
      <c r="H116" s="15"/>
      <c r="I116" s="23"/>
      <c r="J116" s="16"/>
      <c r="M116" s="10"/>
      <c r="N116" s="32"/>
    </row>
    <row r="117" spans="1:24" ht="44.25" customHeight="1" x14ac:dyDescent="0.3">
      <c r="A117" s="7"/>
      <c r="B117" s="65" t="str">
        <f>IF(G96&gt;12,"","Maximum surface of the underfloor installation manageable by each pump unit, with a heat drop proportionate to the selected class of insulation:")</f>
        <v/>
      </c>
      <c r="C117" s="65"/>
      <c r="D117" s="65"/>
      <c r="E117" s="65"/>
      <c r="F117" s="65"/>
      <c r="G117" s="65"/>
      <c r="H117" s="65"/>
      <c r="I117" s="52" t="str">
        <f>IF(G96&gt;12,"",IF(G95=0,"- -",IF(G96&lt;=12,IF(O112=1,E99*1000/Q112,IF(O113=1,E99*1000/Q113,IF(O114=1,E99*1000/Q114,"- -"))),"- - ")))</f>
        <v/>
      </c>
      <c r="J117" s="29" t="str">
        <f>IF(G96&gt;12,"","m2")</f>
        <v/>
      </c>
      <c r="M117" s="10"/>
      <c r="N117" s="50"/>
      <c r="Q117" s="27"/>
    </row>
    <row r="118" spans="1:24" ht="10.5" customHeight="1" x14ac:dyDescent="0.3">
      <c r="A118" s="17"/>
      <c r="B118" s="18"/>
      <c r="C118" s="18"/>
      <c r="D118" s="18"/>
      <c r="E118" s="18"/>
      <c r="F118" s="19"/>
      <c r="G118" s="18"/>
      <c r="H118" s="18"/>
      <c r="I118" s="19"/>
      <c r="J118" s="19"/>
      <c r="K118" s="18"/>
      <c r="L118" s="18"/>
      <c r="M118" s="20"/>
    </row>
    <row r="119" spans="1:24" ht="10.5" customHeight="1" x14ac:dyDescent="0.3"/>
    <row r="120" spans="1:24" ht="10.5" customHeight="1" x14ac:dyDescent="0.3">
      <c r="A120" s="3"/>
      <c r="B120" s="4"/>
      <c r="C120" s="4"/>
      <c r="D120" s="4"/>
      <c r="E120" s="4"/>
      <c r="F120" s="5"/>
      <c r="G120" s="4"/>
      <c r="H120" s="4"/>
      <c r="I120" s="5"/>
      <c r="J120" s="5"/>
      <c r="K120" s="4"/>
      <c r="L120" s="4"/>
      <c r="M120" s="6"/>
    </row>
    <row r="121" spans="1:24" ht="18.75" customHeight="1" x14ac:dyDescent="0.3">
      <c r="A121" s="7"/>
      <c r="B121" s="63" t="s">
        <v>61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"/>
      <c r="N121" s="32"/>
    </row>
    <row r="122" spans="1:24" ht="30" customHeight="1" x14ac:dyDescent="0.3">
      <c r="A122" s="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10"/>
      <c r="N122" s="32"/>
    </row>
    <row r="123" spans="1:24" ht="30" customHeight="1" x14ac:dyDescent="0.3">
      <c r="A123" s="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10"/>
      <c r="N123" s="32"/>
    </row>
    <row r="124" spans="1:24" ht="30" customHeight="1" x14ac:dyDescent="0.3">
      <c r="A124" s="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10"/>
      <c r="N124" s="32"/>
    </row>
    <row r="125" spans="1:24" ht="10.5" customHeight="1" x14ac:dyDescent="0.3">
      <c r="A125" s="17"/>
      <c r="B125" s="18"/>
      <c r="C125" s="18"/>
      <c r="D125" s="18"/>
      <c r="E125" s="18"/>
      <c r="F125" s="19"/>
      <c r="G125" s="18"/>
      <c r="H125" s="18"/>
      <c r="I125" s="19"/>
      <c r="J125" s="19"/>
      <c r="K125" s="18"/>
      <c r="L125" s="18"/>
      <c r="M125" s="20"/>
    </row>
  </sheetData>
  <sheetProtection algorithmName="SHA-512" hashValue="25WahwwOgfYR2xDscrnBxAwcHgj2L7xKPmh8qMcuibfnU2Q4d/l4JFDa7cA3K97bltH/aqpUOu20PbYBRhundw==" saltValue="CG5WUuW6XC66ahC18Xmp/Q==" spinCount="100000" sheet="1" objects="1" scenarios="1" selectLockedCells="1"/>
  <dataConsolidate/>
  <mergeCells count="29">
    <mergeCell ref="B1:L1"/>
    <mergeCell ref="B117:H117"/>
    <mergeCell ref="C121:L121"/>
    <mergeCell ref="B122:L122"/>
    <mergeCell ref="B123:L123"/>
    <mergeCell ref="B2:L2"/>
    <mergeCell ref="B124:L124"/>
    <mergeCell ref="G101:J101"/>
    <mergeCell ref="X7:X8"/>
    <mergeCell ref="G10:J10"/>
    <mergeCell ref="H21:L21"/>
    <mergeCell ref="G27:J27"/>
    <mergeCell ref="B43:H43"/>
    <mergeCell ref="G47:J47"/>
    <mergeCell ref="H58:L58"/>
    <mergeCell ref="G64:J64"/>
    <mergeCell ref="B80:H80"/>
    <mergeCell ref="G84:J84"/>
    <mergeCell ref="H95:L95"/>
    <mergeCell ref="S5:U5"/>
    <mergeCell ref="V5:X5"/>
    <mergeCell ref="S6:U6"/>
    <mergeCell ref="V6:X6"/>
    <mergeCell ref="R7:R8"/>
    <mergeCell ref="S7:S8"/>
    <mergeCell ref="T7:T8"/>
    <mergeCell ref="U7:U8"/>
    <mergeCell ref="V7:V8"/>
    <mergeCell ref="W7:W8"/>
  </mergeCells>
  <conditionalFormatting sqref="I34">
    <cfRule type="cellIs" dxfId="29" priority="10" operator="lessThan">
      <formula>0.5</formula>
    </cfRule>
  </conditionalFormatting>
  <conditionalFormatting sqref="K5">
    <cfRule type="cellIs" dxfId="28" priority="9" operator="greaterThan">
      <formula>50</formula>
    </cfRule>
  </conditionalFormatting>
  <conditionalFormatting sqref="I71">
    <cfRule type="cellIs" dxfId="27" priority="8" operator="lessThan">
      <formula>0.5</formula>
    </cfRule>
  </conditionalFormatting>
  <conditionalFormatting sqref="I108">
    <cfRule type="cellIs" dxfId="26" priority="7" operator="lessThan">
      <formula>0.5</formula>
    </cfRule>
  </conditionalFormatting>
  <conditionalFormatting sqref="E25:F25">
    <cfRule type="expression" dxfId="25" priority="5" stopIfTrue="1">
      <formula>$N$25&gt;=0.1</formula>
    </cfRule>
    <cfRule type="expression" dxfId="24" priority="6">
      <formula>$N$25&gt;0</formula>
    </cfRule>
  </conditionalFormatting>
  <conditionalFormatting sqref="E62:F62">
    <cfRule type="expression" dxfId="23" priority="3" stopIfTrue="1">
      <formula>$N$62&gt;=0.1</formula>
    </cfRule>
    <cfRule type="expression" dxfId="22" priority="4">
      <formula>$N$62&gt;0</formula>
    </cfRule>
  </conditionalFormatting>
  <conditionalFormatting sqref="E99:F99">
    <cfRule type="expression" dxfId="21" priority="1" stopIfTrue="1">
      <formula>$N$99&gt;=0.1</formula>
    </cfRule>
    <cfRule type="expression" dxfId="20" priority="2">
      <formula>$N$99&gt;0</formula>
    </cfRule>
  </conditionalFormatting>
  <dataValidations count="4">
    <dataValidation type="list" allowBlank="1" showInputMessage="1" showErrorMessage="1" sqref="G38 G112 G75" xr:uid="{00000000-0002-0000-0100-000000000000}">
      <formula1>$N$38:$N$40</formula1>
    </dataValidation>
    <dataValidation type="list" allowBlank="1" showInputMessage="1" showErrorMessage="1" promptTitle="Scegliere un circolatore" sqref="G27:J27 G101:J101 G64:J64" xr:uid="{00000000-0002-0000-0100-000001000000}">
      <formula1>$N$27:$N$29</formula1>
    </dataValidation>
    <dataValidation type="list" allowBlank="1" showErrorMessage="1" sqref="G10:J10 G47:J47 G84:J84" xr:uid="{00000000-0002-0000-0100-000002000000}">
      <formula1>N10:N19</formula1>
    </dataValidation>
    <dataValidation type="list" allowBlank="1" showInputMessage="1" showErrorMessage="1" sqref="G21 G95 G58" xr:uid="{00000000-0002-0000-0100-000003000000}">
      <formula1>$O$21:$O$24</formula1>
    </dataValidation>
  </dataValidations>
  <pageMargins left="0.35" right="0.25" top="0.55000000000000004" bottom="0.56999999999999995" header="0.3" footer="0.3"/>
  <pageSetup paperSize="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25"/>
  <sheetViews>
    <sheetView workbookViewId="0">
      <selection activeCell="G10" sqref="G10:J10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bestFit="1" customWidth="1"/>
    <col min="12" max="12" width="3.88671875" bestFit="1" customWidth="1"/>
    <col min="13" max="13" width="1.44140625" customWidth="1"/>
    <col min="14" max="14" width="34.5546875" style="2" hidden="1" customWidth="1"/>
    <col min="15" max="15" width="4" style="2" hidden="1" customWidth="1"/>
    <col min="16" max="16" width="11.33203125" style="9" hidden="1" customWidth="1"/>
    <col min="17" max="17" width="12.44140625" style="9" hidden="1" customWidth="1"/>
    <col min="18" max="21" width="11.33203125" style="9" hidden="1" customWidth="1"/>
    <col min="22" max="24" width="14.109375" style="9" hidden="1" customWidth="1"/>
  </cols>
  <sheetData>
    <row r="1" spans="1:24" ht="75.75" customHeight="1" x14ac:dyDescent="0.35">
      <c r="A1" s="3"/>
      <c r="B1" s="74" t="s">
        <v>97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6"/>
    </row>
    <row r="2" spans="1:24" ht="321.75" customHeight="1" x14ac:dyDescent="0.3">
      <c r="A2" s="1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20"/>
    </row>
    <row r="3" spans="1:24" ht="11.25" customHeight="1" x14ac:dyDescent="0.3"/>
    <row r="4" spans="1:24" ht="10.5" customHeight="1" x14ac:dyDescent="0.3">
      <c r="A4" s="3"/>
      <c r="B4" s="4"/>
      <c r="C4" s="4"/>
      <c r="D4" s="4"/>
      <c r="E4" s="4"/>
      <c r="F4" s="5"/>
      <c r="G4" s="4"/>
      <c r="H4" s="4"/>
      <c r="I4" s="5"/>
      <c r="J4" s="5"/>
      <c r="K4" s="4"/>
      <c r="L4" s="4"/>
      <c r="M4" s="6"/>
    </row>
    <row r="5" spans="1:24" x14ac:dyDescent="0.3">
      <c r="A5" s="7"/>
      <c r="B5" s="21" t="s">
        <v>46</v>
      </c>
      <c r="K5" s="30">
        <f>SUM(K8:K450)</f>
        <v>0</v>
      </c>
      <c r="L5" s="21" t="s">
        <v>0</v>
      </c>
      <c r="M5" s="10"/>
      <c r="R5" s="55" t="s">
        <v>43</v>
      </c>
      <c r="S5" s="72" t="s">
        <v>39</v>
      </c>
      <c r="T5" s="72"/>
      <c r="U5" s="72"/>
      <c r="V5" s="75" t="s">
        <v>41</v>
      </c>
      <c r="W5" s="75"/>
      <c r="X5" s="75"/>
    </row>
    <row r="6" spans="1:24" x14ac:dyDescent="0.3">
      <c r="A6" s="7"/>
      <c r="B6" t="s">
        <v>47</v>
      </c>
      <c r="M6" s="10"/>
      <c r="R6" s="55" t="s">
        <v>45</v>
      </c>
      <c r="S6" s="72" t="s">
        <v>40</v>
      </c>
      <c r="T6" s="72"/>
      <c r="U6" s="72"/>
      <c r="V6" s="75" t="s">
        <v>42</v>
      </c>
      <c r="W6" s="75"/>
      <c r="X6" s="75"/>
    </row>
    <row r="7" spans="1:24" ht="10.5" customHeight="1" x14ac:dyDescent="0.3">
      <c r="A7" s="17"/>
      <c r="B7" s="18"/>
      <c r="C7" s="18"/>
      <c r="D7" s="18"/>
      <c r="E7" s="18"/>
      <c r="F7" s="19"/>
      <c r="G7" s="18"/>
      <c r="H7" s="18"/>
      <c r="I7" s="19"/>
      <c r="J7" s="19"/>
      <c r="K7" s="18"/>
      <c r="L7" s="18"/>
      <c r="M7" s="20"/>
      <c r="R7" s="72" t="s">
        <v>44</v>
      </c>
      <c r="S7" s="73" t="s">
        <v>36</v>
      </c>
      <c r="T7" s="73" t="s">
        <v>37</v>
      </c>
      <c r="U7" s="73" t="s">
        <v>38</v>
      </c>
      <c r="V7" s="69" t="s">
        <v>36</v>
      </c>
      <c r="W7" s="69" t="s">
        <v>37</v>
      </c>
      <c r="X7" s="69" t="s">
        <v>38</v>
      </c>
    </row>
    <row r="8" spans="1:24" ht="11.25" customHeight="1" x14ac:dyDescent="0.3">
      <c r="R8" s="72"/>
      <c r="S8" s="73"/>
      <c r="T8" s="73"/>
      <c r="U8" s="73"/>
      <c r="V8" s="69"/>
      <c r="W8" s="69"/>
      <c r="X8" s="69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4"/>
      <c r="L9" s="4"/>
      <c r="M9" s="6"/>
      <c r="Q9" s="53"/>
      <c r="R9" s="44"/>
      <c r="S9" s="44"/>
      <c r="T9" s="44"/>
      <c r="U9" s="44"/>
    </row>
    <row r="10" spans="1:24" ht="15.6" x14ac:dyDescent="0.3">
      <c r="A10" s="7"/>
      <c r="B10" s="8" t="s">
        <v>57</v>
      </c>
      <c r="G10" s="70" t="s">
        <v>33</v>
      </c>
      <c r="H10" s="70"/>
      <c r="I10" s="70"/>
      <c r="J10" s="70"/>
      <c r="M10" s="10"/>
      <c r="N10" s="47" t="s">
        <v>33</v>
      </c>
      <c r="O10" s="2">
        <f>IF(G10=N10,1,0)</f>
        <v>1</v>
      </c>
      <c r="P10" s="9" t="s">
        <v>15</v>
      </c>
      <c r="Q10" s="41">
        <v>6</v>
      </c>
      <c r="R10" s="44">
        <v>4.0999999999999996</v>
      </c>
      <c r="S10" s="44">
        <v>2284</v>
      </c>
      <c r="T10" s="44">
        <v>1770</v>
      </c>
      <c r="U10" s="44">
        <v>1511</v>
      </c>
      <c r="V10" s="45">
        <f>S10*$G22/860</f>
        <v>53.116279069767444</v>
      </c>
      <c r="W10" s="45">
        <f>T10*$G22/860</f>
        <v>41.162790697674417</v>
      </c>
      <c r="X10" s="45">
        <f>U10*$G22/860</f>
        <v>35.139534883720927</v>
      </c>
    </row>
    <row r="11" spans="1:24" s="2" customFormat="1" ht="15.6" hidden="1" x14ac:dyDescent="0.3">
      <c r="A11" s="34"/>
      <c r="B11" s="37"/>
      <c r="F11" s="9"/>
      <c r="G11" s="9"/>
      <c r="I11" s="9"/>
      <c r="J11" s="9"/>
      <c r="M11" s="35"/>
      <c r="N11" s="47" t="s">
        <v>34</v>
      </c>
      <c r="O11" s="2">
        <f>IF(G10=N11,1,0)</f>
        <v>0</v>
      </c>
      <c r="P11" s="9" t="s">
        <v>15</v>
      </c>
      <c r="Q11" s="41">
        <v>2.7</v>
      </c>
      <c r="R11" s="44">
        <v>5</v>
      </c>
      <c r="S11" s="44">
        <v>1363</v>
      </c>
      <c r="T11" s="44">
        <v>1060</v>
      </c>
      <c r="U11" s="44">
        <v>885</v>
      </c>
      <c r="V11" s="45">
        <f>S11*$G22/860</f>
        <v>31.697674418604652</v>
      </c>
      <c r="W11" s="45">
        <f>T11*$G22/860</f>
        <v>24.651162790697676</v>
      </c>
      <c r="X11" s="45">
        <f>U11*$G22/860</f>
        <v>20.581395348837209</v>
      </c>
    </row>
    <row r="12" spans="1:24" s="2" customFormat="1" ht="15.6" hidden="1" x14ac:dyDescent="0.3">
      <c r="A12" s="34"/>
      <c r="B12" s="37"/>
      <c r="F12" s="9"/>
      <c r="G12" s="9"/>
      <c r="I12" s="9"/>
      <c r="J12" s="9"/>
      <c r="M12" s="35"/>
      <c r="N12" s="47" t="s">
        <v>35</v>
      </c>
      <c r="O12" s="2">
        <f>IF(G10=N12,1,0)</f>
        <v>0</v>
      </c>
      <c r="P12" s="9" t="s">
        <v>15</v>
      </c>
      <c r="Q12" s="41">
        <v>3.8</v>
      </c>
      <c r="R12" s="44">
        <v>5</v>
      </c>
      <c r="S12" s="44">
        <v>1673</v>
      </c>
      <c r="T12" s="44">
        <v>1261</v>
      </c>
      <c r="U12" s="44">
        <v>1039</v>
      </c>
      <c r="V12" s="45">
        <f>S12*$G22/860</f>
        <v>38.906976744186046</v>
      </c>
      <c r="W12" s="45">
        <f>T12*$G22/860</f>
        <v>29.325581395348838</v>
      </c>
      <c r="X12" s="45">
        <f>U12*$G22/860</f>
        <v>24.162790697674417</v>
      </c>
    </row>
    <row r="13" spans="1:24" s="2" customFormat="1" ht="15.6" hidden="1" x14ac:dyDescent="0.3">
      <c r="A13" s="34"/>
      <c r="B13" s="37"/>
      <c r="F13" s="9"/>
      <c r="G13" s="9"/>
      <c r="I13" s="9"/>
      <c r="J13" s="9"/>
      <c r="M13" s="35"/>
      <c r="N13" s="47" t="s">
        <v>26</v>
      </c>
      <c r="O13" s="2">
        <f>IF(G10=N13,1,0)</f>
        <v>0</v>
      </c>
      <c r="P13" s="9" t="s">
        <v>15</v>
      </c>
      <c r="Q13" s="41">
        <v>4</v>
      </c>
      <c r="R13" s="44">
        <v>4.5</v>
      </c>
      <c r="S13" s="44">
        <v>1826</v>
      </c>
      <c r="T13" s="44">
        <v>1416</v>
      </c>
      <c r="U13" s="44">
        <v>1199</v>
      </c>
      <c r="V13" s="45">
        <f>S13*$G22/860</f>
        <v>42.465116279069768</v>
      </c>
      <c r="W13" s="45">
        <f>T13*$G22/860</f>
        <v>32.930232558139537</v>
      </c>
      <c r="X13" s="45">
        <f>U13*$G22/860</f>
        <v>27.88372093023256</v>
      </c>
    </row>
    <row r="14" spans="1:24" s="2" customFormat="1" ht="15.6" hidden="1" x14ac:dyDescent="0.3">
      <c r="A14" s="34"/>
      <c r="B14" s="37"/>
      <c r="F14" s="9"/>
      <c r="G14" s="9"/>
      <c r="I14" s="9"/>
      <c r="J14" s="9"/>
      <c r="M14" s="35"/>
      <c r="N14" s="47" t="s">
        <v>27</v>
      </c>
      <c r="O14" s="2">
        <f>IF(G10=N14,1,0)</f>
        <v>0</v>
      </c>
      <c r="P14" s="9" t="s">
        <v>15</v>
      </c>
      <c r="Q14" s="41">
        <v>5.5</v>
      </c>
      <c r="R14" s="44">
        <v>4.5</v>
      </c>
      <c r="S14" s="44">
        <v>1950</v>
      </c>
      <c r="T14" s="44">
        <v>1601</v>
      </c>
      <c r="U14" s="44">
        <v>1343</v>
      </c>
      <c r="V14" s="45">
        <f>S14*$G22/860</f>
        <v>45.348837209302324</v>
      </c>
      <c r="W14" s="45">
        <f t="shared" ref="W14:X14" si="0">T14*$G22/860</f>
        <v>37.232558139534881</v>
      </c>
      <c r="X14" s="45">
        <f t="shared" si="0"/>
        <v>31.232558139534884</v>
      </c>
    </row>
    <row r="15" spans="1:24" s="2" customFormat="1" ht="15.6" hidden="1" x14ac:dyDescent="0.3">
      <c r="A15" s="34"/>
      <c r="B15" s="37"/>
      <c r="F15" s="9"/>
      <c r="G15" s="9"/>
      <c r="I15" s="9"/>
      <c r="J15" s="9"/>
      <c r="M15" s="35"/>
      <c r="N15" s="47" t="s">
        <v>28</v>
      </c>
      <c r="O15" s="2">
        <f>IF(G10=N15,1,0)</f>
        <v>0</v>
      </c>
      <c r="P15" s="9" t="s">
        <v>15</v>
      </c>
      <c r="Q15" s="41">
        <v>2</v>
      </c>
      <c r="R15" s="44">
        <v>5</v>
      </c>
      <c r="S15" s="44">
        <v>1010</v>
      </c>
      <c r="T15" s="44">
        <v>880</v>
      </c>
      <c r="U15" s="44">
        <v>714</v>
      </c>
      <c r="V15" s="45">
        <f>S15*$G22/860</f>
        <v>23.488372093023255</v>
      </c>
      <c r="W15" s="45">
        <f t="shared" ref="W15:X15" si="1">T15*$G22/860</f>
        <v>20.465116279069768</v>
      </c>
      <c r="X15" s="45">
        <f t="shared" si="1"/>
        <v>16.604651162790699</v>
      </c>
    </row>
    <row r="16" spans="1:24" s="2" customFormat="1" ht="15.6" hidden="1" x14ac:dyDescent="0.3">
      <c r="A16" s="34"/>
      <c r="B16" s="37"/>
      <c r="F16" s="9"/>
      <c r="G16" s="9"/>
      <c r="I16" s="9"/>
      <c r="J16" s="9"/>
      <c r="M16" s="35"/>
      <c r="N16" s="47" t="s">
        <v>29</v>
      </c>
      <c r="O16" s="2">
        <f>IF(G10=N16,1,0)</f>
        <v>0</v>
      </c>
      <c r="P16" s="9" t="s">
        <v>15</v>
      </c>
      <c r="Q16" s="41">
        <v>2.4</v>
      </c>
      <c r="R16" s="44">
        <v>5</v>
      </c>
      <c r="S16" s="44">
        <v>1212</v>
      </c>
      <c r="T16" s="44">
        <v>989</v>
      </c>
      <c r="U16" s="44">
        <v>829</v>
      </c>
      <c r="V16" s="45">
        <f>S16*$G22/860</f>
        <v>28.186046511627907</v>
      </c>
      <c r="W16" s="45">
        <f t="shared" ref="W16:X16" si="2">T16*$G22/860</f>
        <v>23</v>
      </c>
      <c r="X16" s="45">
        <f t="shared" si="2"/>
        <v>19.279069767441861</v>
      </c>
    </row>
    <row r="17" spans="1:24" s="2" customFormat="1" ht="15.6" hidden="1" x14ac:dyDescent="0.3">
      <c r="A17" s="34"/>
      <c r="B17" s="37"/>
      <c r="F17" s="9"/>
      <c r="G17" s="9"/>
      <c r="I17" s="9"/>
      <c r="J17" s="9"/>
      <c r="M17" s="35"/>
      <c r="N17" s="47" t="s">
        <v>30</v>
      </c>
      <c r="O17" s="2">
        <f>IF(G10=N17,1,0)</f>
        <v>0</v>
      </c>
      <c r="P17" s="9" t="s">
        <v>15</v>
      </c>
      <c r="Q17" s="41">
        <v>3.1</v>
      </c>
      <c r="R17" s="44">
        <v>5</v>
      </c>
      <c r="S17" s="44">
        <v>1497</v>
      </c>
      <c r="T17" s="44">
        <v>1143</v>
      </c>
      <c r="U17" s="44">
        <v>949</v>
      </c>
      <c r="V17" s="45">
        <f>S17*$G22/860</f>
        <v>34.813953488372093</v>
      </c>
      <c r="W17" s="45">
        <f t="shared" ref="W17:X17" si="3">T17*$G22/860</f>
        <v>26.581395348837209</v>
      </c>
      <c r="X17" s="45">
        <f t="shared" si="3"/>
        <v>22.069767441860463</v>
      </c>
    </row>
    <row r="18" spans="1:24" s="2" customFormat="1" ht="15.6" hidden="1" x14ac:dyDescent="0.3">
      <c r="A18" s="34"/>
      <c r="B18" s="37"/>
      <c r="F18" s="9"/>
      <c r="G18" s="9"/>
      <c r="I18" s="9"/>
      <c r="J18" s="9"/>
      <c r="M18" s="35"/>
      <c r="N18" s="47" t="s">
        <v>31</v>
      </c>
      <c r="O18" s="2">
        <f>IF(G10=N18,1,0)</f>
        <v>0</v>
      </c>
      <c r="P18" s="9" t="s">
        <v>15</v>
      </c>
      <c r="Q18" s="41">
        <v>1.7</v>
      </c>
      <c r="R18" s="44">
        <v>5</v>
      </c>
      <c r="S18" s="44">
        <v>858</v>
      </c>
      <c r="T18" s="44">
        <v>781</v>
      </c>
      <c r="U18" s="44">
        <v>607</v>
      </c>
      <c r="V18" s="45">
        <f>S18*$G22/860</f>
        <v>19.953488372093023</v>
      </c>
      <c r="W18" s="45">
        <f t="shared" ref="W18:X18" si="4">T18*$G22/860</f>
        <v>18.162790697674417</v>
      </c>
      <c r="X18" s="45">
        <f t="shared" si="4"/>
        <v>14.116279069767442</v>
      </c>
    </row>
    <row r="19" spans="1:24" s="2" customFormat="1" ht="15.6" hidden="1" x14ac:dyDescent="0.3">
      <c r="A19" s="34"/>
      <c r="B19" s="37"/>
      <c r="F19" s="9"/>
      <c r="G19" s="9"/>
      <c r="I19" s="9"/>
      <c r="J19" s="9"/>
      <c r="M19" s="35"/>
      <c r="N19" s="47" t="s">
        <v>32</v>
      </c>
      <c r="O19" s="2">
        <f>IF(G10=N19,1,0)</f>
        <v>0</v>
      </c>
      <c r="P19" s="9" t="s">
        <v>15</v>
      </c>
      <c r="Q19" s="41">
        <v>1.9</v>
      </c>
      <c r="R19" s="44">
        <v>5</v>
      </c>
      <c r="S19" s="44">
        <v>1000</v>
      </c>
      <c r="T19" s="44">
        <v>850</v>
      </c>
      <c r="U19" s="44">
        <v>678</v>
      </c>
      <c r="V19" s="45">
        <f>S19*$G22/860</f>
        <v>23.255813953488371</v>
      </c>
      <c r="W19" s="45">
        <f t="shared" ref="W19:X19" si="5">T19*$G22/860</f>
        <v>19.767441860465116</v>
      </c>
      <c r="X19" s="45">
        <f t="shared" si="5"/>
        <v>15.767441860465116</v>
      </c>
    </row>
    <row r="20" spans="1:24" ht="8.25" customHeight="1" x14ac:dyDescent="0.35">
      <c r="A20" s="7"/>
      <c r="F20" s="33"/>
      <c r="G20" s="33"/>
      <c r="H20" s="33"/>
      <c r="I20" s="33"/>
      <c r="J20" s="33"/>
      <c r="M20" s="10"/>
      <c r="N20" s="48"/>
    </row>
    <row r="21" spans="1:24" x14ac:dyDescent="0.3">
      <c r="A21" s="7"/>
      <c r="B21" t="s">
        <v>58</v>
      </c>
      <c r="G21" s="61">
        <v>0</v>
      </c>
      <c r="H21" s="71" t="str">
        <f>IF(G21+G58+G95&gt;3,"Nombre max. de modules en total = 3","")</f>
        <v/>
      </c>
      <c r="I21" s="71"/>
      <c r="J21" s="71"/>
      <c r="K21" s="71"/>
      <c r="L21" s="71"/>
      <c r="M21" s="10"/>
      <c r="O21" s="2">
        <v>0</v>
      </c>
    </row>
    <row r="22" spans="1:24" x14ac:dyDescent="0.3">
      <c r="A22" s="7"/>
      <c r="B22" t="s">
        <v>55</v>
      </c>
      <c r="G22" s="61">
        <v>20</v>
      </c>
      <c r="H22" t="s">
        <v>1</v>
      </c>
      <c r="M22" s="10"/>
      <c r="N22" s="49"/>
      <c r="O22" s="2">
        <v>1</v>
      </c>
    </row>
    <row r="23" spans="1:24" ht="15.6" x14ac:dyDescent="0.3">
      <c r="A23" s="7"/>
      <c r="B23" t="s">
        <v>48</v>
      </c>
      <c r="G23" s="61">
        <v>1000</v>
      </c>
      <c r="H23" s="22" t="s">
        <v>2</v>
      </c>
      <c r="I23" s="8"/>
      <c r="J23" s="8"/>
      <c r="K23" s="51"/>
      <c r="L23" s="25"/>
      <c r="M23" s="10"/>
      <c r="N23" s="49"/>
      <c r="O23" s="2">
        <v>2</v>
      </c>
      <c r="P23" s="54"/>
      <c r="Q23" s="11"/>
      <c r="R23" s="11"/>
      <c r="S23" s="11"/>
      <c r="T23" s="11"/>
      <c r="U23" s="11"/>
      <c r="V23" s="11"/>
      <c r="W23" s="11"/>
      <c r="X23" s="11"/>
    </row>
    <row r="24" spans="1:24" x14ac:dyDescent="0.3">
      <c r="A24" s="7"/>
      <c r="L24" s="12" t="s">
        <v>49</v>
      </c>
      <c r="M24" s="10"/>
      <c r="N24" s="49"/>
      <c r="O24" s="2">
        <v>3</v>
      </c>
    </row>
    <row r="25" spans="1:24" ht="15.6" x14ac:dyDescent="0.3">
      <c r="A25" s="7"/>
      <c r="B25" s="13" t="s">
        <v>50</v>
      </c>
      <c r="E25" s="30" t="str">
        <f>IF(G21=0,"- -",G23*G22/860)</f>
        <v>- -</v>
      </c>
      <c r="F25" s="21" t="s">
        <v>0</v>
      </c>
      <c r="H25" s="58" t="s">
        <v>62</v>
      </c>
      <c r="I25" s="56" t="str">
        <f>IF(G21=0,"- -",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)</f>
        <v>- -</v>
      </c>
      <c r="J25" s="59" t="s">
        <v>18</v>
      </c>
      <c r="K25" s="30" t="str">
        <f>IF(G21=0,"- -",G21*E25)</f>
        <v>- -</v>
      </c>
      <c r="L25" s="21" t="s">
        <v>0</v>
      </c>
      <c r="M25" s="10"/>
      <c r="N25" s="57" t="e">
        <f>E25/I25-1</f>
        <v>#VALUE!</v>
      </c>
      <c r="P25" s="28"/>
      <c r="Q25" s="24"/>
      <c r="S25" s="54" t="s">
        <v>13</v>
      </c>
      <c r="T25" s="54" t="s">
        <v>14</v>
      </c>
      <c r="U25" s="54"/>
    </row>
    <row r="26" spans="1:24" x14ac:dyDescent="0.3">
      <c r="A26" s="7"/>
      <c r="M26" s="10"/>
      <c r="P26" s="54" t="s">
        <v>11</v>
      </c>
      <c r="Q26" s="54" t="s">
        <v>10</v>
      </c>
      <c r="R26" s="54" t="s">
        <v>9</v>
      </c>
      <c r="S26" s="54" t="s">
        <v>12</v>
      </c>
      <c r="T26" s="54" t="s">
        <v>12</v>
      </c>
      <c r="U26" s="54"/>
      <c r="V26" s="54" t="s">
        <v>7</v>
      </c>
      <c r="W26" s="54" t="s">
        <v>8</v>
      </c>
      <c r="X26" s="54"/>
    </row>
    <row r="27" spans="1:24" x14ac:dyDescent="0.3">
      <c r="A27" s="7"/>
      <c r="B27" t="s">
        <v>51</v>
      </c>
      <c r="G27" s="68" t="s">
        <v>3</v>
      </c>
      <c r="H27" s="68"/>
      <c r="I27" s="68"/>
      <c r="J27" s="68"/>
      <c r="M27" s="10"/>
      <c r="N27" s="2" t="s">
        <v>6</v>
      </c>
      <c r="O27" s="2">
        <f>IF(N27=G27,1,0)</f>
        <v>0</v>
      </c>
      <c r="P27" s="9" t="str">
        <f>IF(O27=1,1,"")</f>
        <v/>
      </c>
      <c r="Q27" s="9" t="str">
        <f>IF(O27=1,IF(G23&gt;=R27,2,1),"")</f>
        <v/>
      </c>
      <c r="R27" s="53">
        <v>1400</v>
      </c>
      <c r="S27" s="53">
        <v>-2.2857099999999998E-3</v>
      </c>
      <c r="T27" s="53">
        <v>10.8</v>
      </c>
      <c r="V27" s="53">
        <v>7.6</v>
      </c>
      <c r="W27" s="9">
        <f>G23*S27+T27</f>
        <v>8.5142900000000008</v>
      </c>
    </row>
    <row r="28" spans="1:24" s="2" customFormat="1" hidden="1" x14ac:dyDescent="0.3">
      <c r="A28" s="34"/>
      <c r="F28" s="9"/>
      <c r="G28" s="9"/>
      <c r="I28" s="9"/>
      <c r="J28" s="9"/>
      <c r="M28" s="35"/>
      <c r="N28" s="2" t="s">
        <v>4</v>
      </c>
      <c r="O28" s="2">
        <f>IF(N28=G27,1,0)</f>
        <v>0</v>
      </c>
      <c r="P28" s="9" t="str">
        <f>IF(O28=1,2,"")</f>
        <v/>
      </c>
      <c r="Q28" s="9" t="str">
        <f>IF(O28=1,IF(G23&gt;=R28,2,1),"")</f>
        <v/>
      </c>
      <c r="R28" s="53">
        <v>800</v>
      </c>
      <c r="S28" s="53">
        <v>-2.23077E-3</v>
      </c>
      <c r="T28" s="53">
        <v>8.9350000000000005</v>
      </c>
      <c r="U28" s="9"/>
      <c r="V28" s="53">
        <v>7.15</v>
      </c>
      <c r="W28" s="9">
        <f>G23*S28+T28</f>
        <v>6.7042300000000008</v>
      </c>
      <c r="X28" s="9"/>
    </row>
    <row r="29" spans="1:24" s="2" customFormat="1" hidden="1" x14ac:dyDescent="0.3">
      <c r="A29" s="34"/>
      <c r="F29" s="9"/>
      <c r="G29" s="9"/>
      <c r="I29" s="9"/>
      <c r="J29" s="9"/>
      <c r="M29" s="35"/>
      <c r="N29" s="2" t="s">
        <v>3</v>
      </c>
      <c r="O29" s="2">
        <f>IF(N29=G27,1,0)</f>
        <v>1</v>
      </c>
      <c r="P29" s="9">
        <f>IF(O29=1,3,"")</f>
        <v>3</v>
      </c>
      <c r="Q29" s="9">
        <f>IF(O29=1,IF(G23&gt;=R29,2,1),"")</f>
        <v>2</v>
      </c>
      <c r="R29" s="53">
        <v>800</v>
      </c>
      <c r="S29" s="53">
        <v>-2.1538400000000002E-3</v>
      </c>
      <c r="T29" s="53">
        <v>8</v>
      </c>
      <c r="U29" s="9"/>
      <c r="V29" s="53">
        <v>6.3</v>
      </c>
      <c r="W29" s="9">
        <f>G23*S29+T29</f>
        <v>5.8461599999999994</v>
      </c>
      <c r="X29" s="9"/>
    </row>
    <row r="30" spans="1:24" s="2" customFormat="1" ht="18" hidden="1" x14ac:dyDescent="0.35">
      <c r="A30" s="34"/>
      <c r="F30" s="36"/>
      <c r="G30" s="36"/>
      <c r="H30" s="36"/>
      <c r="I30" s="36"/>
      <c r="J30" s="36"/>
      <c r="M30" s="35"/>
      <c r="N30" s="48"/>
      <c r="O30" s="2">
        <f>SUM(O27:O29)</f>
        <v>1</v>
      </c>
      <c r="P30" s="9">
        <f>SUM(P27:P29)</f>
        <v>3</v>
      </c>
      <c r="Q30" s="9">
        <f>SUM(Q27:Q29)</f>
        <v>2</v>
      </c>
      <c r="R30" s="9"/>
      <c r="S30" s="9"/>
      <c r="T30" s="9"/>
      <c r="U30" s="9"/>
      <c r="V30" s="9"/>
      <c r="W30" s="9"/>
      <c r="X30" s="9"/>
    </row>
    <row r="31" spans="1:24" ht="8.25" customHeight="1" x14ac:dyDescent="0.3">
      <c r="A31" s="7"/>
      <c r="M31" s="10"/>
    </row>
    <row r="32" spans="1:24" x14ac:dyDescent="0.3">
      <c r="A32" s="7"/>
      <c r="H32" s="14" t="s">
        <v>52</v>
      </c>
      <c r="I32" s="26" t="str">
        <f>IF(G21=0,"- -",IF(O30=1,IF(AND(P30=1,Q30=1),V27,IF(AND(P30=1,Q30=2),W27,IF(AND(P30=2,Q30=1),V28,IF(AND(P30=2,Q30=2),W28,IF(AND(P30=3,Q30=1),V29,IF(AND(P30=3,Q30=2),W29,"Errore")))))),"- -"))</f>
        <v>- -</v>
      </c>
      <c r="J32" t="s">
        <v>5</v>
      </c>
      <c r="M32" s="10"/>
    </row>
    <row r="33" spans="1:24" x14ac:dyDescent="0.3">
      <c r="A33" s="7"/>
      <c r="H33" s="14" t="s">
        <v>53</v>
      </c>
      <c r="I33" s="26" t="str">
        <f>IF(G21=0,"- -",IF(O30=1,IF(S33&lt;0.2,0.2,S33),"- -"))</f>
        <v>- -</v>
      </c>
      <c r="J33" t="s">
        <v>5</v>
      </c>
      <c r="M33" s="10"/>
      <c r="P33" s="9" t="s">
        <v>15</v>
      </c>
      <c r="Q33" s="24">
        <f>IF(O10=1,Q10,IF(O11=1,Q11,IF(O12=1,Q12,IF(O13=1,Q13,IF(O14=1,Q14,IF(O15=1,Q15,IF(O16=1,Q16,IF(O17=1,Q17,IF(O17=1,Q17,IF(O18=1,Q18,IF(O19=1,Q19,"Errore!")))))))))))</f>
        <v>6</v>
      </c>
      <c r="R33" s="28" t="s">
        <v>16</v>
      </c>
      <c r="S33" s="9">
        <f>(G23/1000/Q33)^2*10.198</f>
        <v>0.28327777777777779</v>
      </c>
    </row>
    <row r="34" spans="1:24" ht="15.6" x14ac:dyDescent="0.3">
      <c r="A34" s="7"/>
      <c r="H34" s="15" t="s">
        <v>54</v>
      </c>
      <c r="I34" s="23" t="str">
        <f>IF(G21=0,"- -",IF(O30=1,I32-I33,"- -"))</f>
        <v>- -</v>
      </c>
      <c r="J34" s="16" t="s">
        <v>5</v>
      </c>
      <c r="K34" s="46"/>
      <c r="M34" s="10"/>
      <c r="N34" s="32"/>
    </row>
    <row r="35" spans="1:24" ht="9" customHeight="1" x14ac:dyDescent="0.3">
      <c r="A35" s="7"/>
      <c r="H35" s="15"/>
      <c r="I35" s="23"/>
      <c r="J35" s="16"/>
      <c r="M35" s="10"/>
      <c r="N35" s="32"/>
    </row>
    <row r="36" spans="1:24" ht="15.6" x14ac:dyDescent="0.3">
      <c r="A36" s="7"/>
      <c r="B36" s="13" t="str">
        <f>IF(G22&lt;=12,"Calcul installation plancher chauffant:","Calcul installation plancher chauffant non disponible avec Δt &gt; 12 K")</f>
        <v>Calcul installation plancher chauffant non disponible avec Δt &gt; 12 K</v>
      </c>
      <c r="H36" s="15"/>
      <c r="I36" s="23"/>
      <c r="J36" s="16"/>
      <c r="M36" s="10"/>
      <c r="N36" s="32"/>
      <c r="S36" s="54" t="s">
        <v>19</v>
      </c>
    </row>
    <row r="37" spans="1:24" ht="9" customHeight="1" x14ac:dyDescent="0.3">
      <c r="A37" s="7"/>
      <c r="H37" s="15"/>
      <c r="I37" s="23"/>
      <c r="J37" s="16"/>
      <c r="M37" s="10"/>
      <c r="N37" s="32"/>
    </row>
    <row r="38" spans="1:24" x14ac:dyDescent="0.3">
      <c r="A38" s="7"/>
      <c r="B38" t="s">
        <v>56</v>
      </c>
      <c r="F38" s="14"/>
      <c r="G38" s="62" t="s">
        <v>24</v>
      </c>
      <c r="I38" s="38" t="str">
        <f>IF(G22&gt;12,"","Utiliser Δt=")</f>
        <v/>
      </c>
      <c r="J38" s="16" t="str">
        <f>IF(G22&gt;12,"",IF(G38=N38,P38,IF(G38=N39,P39,IF(G38=N40,P40,""))))</f>
        <v/>
      </c>
      <c r="M38" s="10"/>
      <c r="N38" s="24" t="s">
        <v>23</v>
      </c>
      <c r="O38" s="2">
        <f>IF(N38=G38,1,0)</f>
        <v>0</v>
      </c>
      <c r="P38" s="9" t="s">
        <v>20</v>
      </c>
      <c r="Q38" s="31">
        <f>T38*S38</f>
        <v>34.375</v>
      </c>
      <c r="R38" s="24" t="s">
        <v>17</v>
      </c>
      <c r="S38" s="53">
        <v>1.375</v>
      </c>
      <c r="T38" s="42">
        <v>25</v>
      </c>
      <c r="U38" s="27"/>
      <c r="V38" s="24" t="s">
        <v>17</v>
      </c>
    </row>
    <row r="39" spans="1:24" s="2" customFormat="1" ht="15.6" hidden="1" x14ac:dyDescent="0.3">
      <c r="A39" s="34"/>
      <c r="F39" s="27"/>
      <c r="G39" s="39"/>
      <c r="H39" s="40"/>
      <c r="I39" s="39"/>
      <c r="J39" s="32"/>
      <c r="M39" s="35"/>
      <c r="N39" s="24" t="s">
        <v>24</v>
      </c>
      <c r="O39" s="2">
        <f>IF(N39=G38,1,0)</f>
        <v>1</v>
      </c>
      <c r="P39" s="9" t="s">
        <v>21</v>
      </c>
      <c r="Q39" s="31">
        <f>T39*S39</f>
        <v>110</v>
      </c>
      <c r="R39" s="24" t="s">
        <v>17</v>
      </c>
      <c r="S39" s="53">
        <v>1.375</v>
      </c>
      <c r="T39" s="43">
        <v>80</v>
      </c>
      <c r="U39" s="31"/>
      <c r="V39" s="24" t="s">
        <v>17</v>
      </c>
      <c r="W39" s="9"/>
      <c r="X39" s="9"/>
    </row>
    <row r="40" spans="1:24" s="2" customFormat="1" ht="15.6" hidden="1" x14ac:dyDescent="0.3">
      <c r="A40" s="34"/>
      <c r="F40" s="27"/>
      <c r="G40" s="39"/>
      <c r="H40" s="40"/>
      <c r="I40" s="39"/>
      <c r="J40" s="32"/>
      <c r="M40" s="35"/>
      <c r="N40" s="24" t="s">
        <v>25</v>
      </c>
      <c r="O40" s="2">
        <f>IF(N40=G38,1,0)</f>
        <v>0</v>
      </c>
      <c r="P40" s="9" t="s">
        <v>22</v>
      </c>
      <c r="Q40" s="31">
        <f>T40*S40</f>
        <v>192.5</v>
      </c>
      <c r="R40" s="24" t="s">
        <v>17</v>
      </c>
      <c r="S40" s="53">
        <v>1.375</v>
      </c>
      <c r="T40" s="42">
        <v>140</v>
      </c>
      <c r="U40" s="27"/>
      <c r="V40" s="24" t="s">
        <v>17</v>
      </c>
      <c r="W40" s="9"/>
      <c r="X40" s="9"/>
    </row>
    <row r="41" spans="1:24" s="2" customFormat="1" ht="18" hidden="1" x14ac:dyDescent="0.35">
      <c r="A41" s="34"/>
      <c r="F41" s="36"/>
      <c r="G41" s="36"/>
      <c r="H41" s="36"/>
      <c r="I41" s="36"/>
      <c r="J41" s="36"/>
      <c r="M41" s="35"/>
      <c r="N41" s="48"/>
      <c r="O41" s="2">
        <f>SUM(O38:O40)</f>
        <v>1</v>
      </c>
      <c r="P41" s="9">
        <f>SUM(P38:P40)</f>
        <v>0</v>
      </c>
      <c r="Q41" s="27"/>
      <c r="R41" s="9"/>
      <c r="S41" s="9"/>
      <c r="T41" s="9"/>
      <c r="U41" s="9"/>
      <c r="V41" s="9"/>
      <c r="W41" s="9"/>
      <c r="X41" s="9"/>
    </row>
    <row r="42" spans="1:24" ht="9" customHeight="1" x14ac:dyDescent="0.3">
      <c r="A42" s="7"/>
      <c r="H42" s="15"/>
      <c r="I42" s="23"/>
      <c r="J42" s="16"/>
      <c r="M42" s="10"/>
      <c r="N42" s="32"/>
    </row>
    <row r="43" spans="1:24" ht="44.25" customHeight="1" x14ac:dyDescent="0.3">
      <c r="A43" s="7"/>
      <c r="B43" s="65" t="str">
        <f>IF(G22&gt;12,"","Surface maxima du plancher chauffant gérable par chaque Module, avec un saut thermique proportionné à la classe d’isolation thermique sélectionnée:")</f>
        <v/>
      </c>
      <c r="C43" s="65"/>
      <c r="D43" s="65"/>
      <c r="E43" s="65"/>
      <c r="F43" s="65"/>
      <c r="G43" s="65"/>
      <c r="H43" s="65"/>
      <c r="I43" s="52" t="str">
        <f>IF(G22&gt;12,"",IF(G21=0,"- -",IF(G22&lt;=12,IF(O38=1,E25*1000/Q38,IF(O39=1,E25*1000/Q39,IF(O40=1,E25*1000/Q40,"- -"))),"- - ")))</f>
        <v/>
      </c>
      <c r="J43" s="29" t="str">
        <f>IF(G22&gt;12,"","m2")</f>
        <v/>
      </c>
      <c r="M43" s="10"/>
      <c r="N43" s="50"/>
      <c r="Q43" s="27"/>
    </row>
    <row r="44" spans="1:24" ht="10.5" customHeight="1" x14ac:dyDescent="0.3">
      <c r="A44" s="17"/>
      <c r="B44" s="18"/>
      <c r="C44" s="18"/>
      <c r="D44" s="18"/>
      <c r="E44" s="18"/>
      <c r="F44" s="19"/>
      <c r="G44" s="18"/>
      <c r="H44" s="18"/>
      <c r="I44" s="19"/>
      <c r="J44" s="19"/>
      <c r="K44" s="18"/>
      <c r="L44" s="18"/>
      <c r="M44" s="20"/>
    </row>
    <row r="45" spans="1:24" ht="18.75" customHeight="1" x14ac:dyDescent="0.3"/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4"/>
      <c r="L46" s="4"/>
      <c r="M46" s="6"/>
      <c r="Q46" s="53"/>
      <c r="R46" s="44"/>
      <c r="S46" s="44"/>
      <c r="T46" s="44"/>
      <c r="U46" s="44"/>
    </row>
    <row r="47" spans="1:24" ht="15.6" x14ac:dyDescent="0.3">
      <c r="A47" s="7"/>
      <c r="B47" s="8" t="s">
        <v>59</v>
      </c>
      <c r="G47" s="70" t="s">
        <v>33</v>
      </c>
      <c r="H47" s="70"/>
      <c r="I47" s="70"/>
      <c r="J47" s="70"/>
      <c r="M47" s="10"/>
      <c r="N47" s="47" t="s">
        <v>33</v>
      </c>
      <c r="O47" s="2">
        <f>IF(G47=N47,1,0)</f>
        <v>1</v>
      </c>
      <c r="P47" s="9" t="s">
        <v>15</v>
      </c>
      <c r="Q47" s="41">
        <v>6</v>
      </c>
      <c r="R47" s="44">
        <v>4.0999999999999996</v>
      </c>
      <c r="S47" s="44">
        <v>2284</v>
      </c>
      <c r="T47" s="44">
        <v>1770</v>
      </c>
      <c r="U47" s="44">
        <v>1511</v>
      </c>
      <c r="V47" s="45">
        <f>S47*$G59/860</f>
        <v>53.116279069767444</v>
      </c>
      <c r="W47" s="45">
        <f>T47*$G59/860</f>
        <v>41.162790697674417</v>
      </c>
      <c r="X47" s="45">
        <f>U47*$G59/860</f>
        <v>35.139534883720927</v>
      </c>
    </row>
    <row r="48" spans="1:24" s="2" customFormat="1" ht="15.6" hidden="1" x14ac:dyDescent="0.3">
      <c r="A48" s="34"/>
      <c r="B48" s="37"/>
      <c r="F48" s="9"/>
      <c r="G48" s="9"/>
      <c r="I48" s="9"/>
      <c r="J48" s="9"/>
      <c r="M48" s="35"/>
      <c r="N48" s="47" t="s">
        <v>34</v>
      </c>
      <c r="O48" s="2">
        <f>IF(G47=N48,1,0)</f>
        <v>0</v>
      </c>
      <c r="P48" s="9" t="s">
        <v>15</v>
      </c>
      <c r="Q48" s="41">
        <v>2.7</v>
      </c>
      <c r="R48" s="44">
        <v>5</v>
      </c>
      <c r="S48" s="44">
        <v>1363</v>
      </c>
      <c r="T48" s="44">
        <v>1060</v>
      </c>
      <c r="U48" s="44">
        <v>885</v>
      </c>
      <c r="V48" s="45">
        <f>S48*$G59/860</f>
        <v>31.697674418604652</v>
      </c>
      <c r="W48" s="45">
        <f>T48*$G59/860</f>
        <v>24.651162790697676</v>
      </c>
      <c r="X48" s="45">
        <f>U48*$G59/860</f>
        <v>20.581395348837209</v>
      </c>
    </row>
    <row r="49" spans="1:24" s="2" customFormat="1" ht="15.6" hidden="1" x14ac:dyDescent="0.3">
      <c r="A49" s="34"/>
      <c r="B49" s="37"/>
      <c r="F49" s="9"/>
      <c r="G49" s="9"/>
      <c r="I49" s="9"/>
      <c r="J49" s="9"/>
      <c r="M49" s="35"/>
      <c r="N49" s="47" t="s">
        <v>35</v>
      </c>
      <c r="O49" s="2">
        <f>IF(G47=N49,1,0)</f>
        <v>0</v>
      </c>
      <c r="P49" s="9" t="s">
        <v>15</v>
      </c>
      <c r="Q49" s="41">
        <v>3.8</v>
      </c>
      <c r="R49" s="44">
        <v>5</v>
      </c>
      <c r="S49" s="44">
        <v>1673</v>
      </c>
      <c r="T49" s="44">
        <v>1261</v>
      </c>
      <c r="U49" s="44">
        <v>1039</v>
      </c>
      <c r="V49" s="45">
        <f>S49*$G59/860</f>
        <v>38.906976744186046</v>
      </c>
      <c r="W49" s="45">
        <f>T49*$G59/860</f>
        <v>29.325581395348838</v>
      </c>
      <c r="X49" s="45">
        <f>U49*$G59/860</f>
        <v>24.162790697674417</v>
      </c>
    </row>
    <row r="50" spans="1:24" s="2" customFormat="1" ht="15.6" hidden="1" x14ac:dyDescent="0.3">
      <c r="A50" s="34"/>
      <c r="B50" s="37"/>
      <c r="F50" s="9"/>
      <c r="G50" s="9"/>
      <c r="I50" s="9"/>
      <c r="J50" s="9"/>
      <c r="M50" s="35"/>
      <c r="N50" s="47" t="s">
        <v>26</v>
      </c>
      <c r="O50" s="2">
        <f>IF(G47=N50,1,0)</f>
        <v>0</v>
      </c>
      <c r="P50" s="9" t="s">
        <v>15</v>
      </c>
      <c r="Q50" s="41">
        <v>4</v>
      </c>
      <c r="R50" s="44">
        <v>4.5</v>
      </c>
      <c r="S50" s="44">
        <v>1826</v>
      </c>
      <c r="T50" s="44">
        <v>1416</v>
      </c>
      <c r="U50" s="44">
        <v>1199</v>
      </c>
      <c r="V50" s="45">
        <f>S50*$G59/860</f>
        <v>42.465116279069768</v>
      </c>
      <c r="W50" s="45">
        <f>T50*$G59/860</f>
        <v>32.930232558139537</v>
      </c>
      <c r="X50" s="45">
        <f>U50*$G59/860</f>
        <v>27.88372093023256</v>
      </c>
    </row>
    <row r="51" spans="1:24" s="2" customFormat="1" ht="15.6" hidden="1" x14ac:dyDescent="0.3">
      <c r="A51" s="34"/>
      <c r="B51" s="37"/>
      <c r="F51" s="9"/>
      <c r="G51" s="9"/>
      <c r="I51" s="9"/>
      <c r="J51" s="9"/>
      <c r="M51" s="35"/>
      <c r="N51" s="47" t="s">
        <v>27</v>
      </c>
      <c r="O51" s="2">
        <f>IF(G47=N51,1,0)</f>
        <v>0</v>
      </c>
      <c r="P51" s="9" t="s">
        <v>15</v>
      </c>
      <c r="Q51" s="41">
        <v>5.5</v>
      </c>
      <c r="R51" s="44">
        <v>4.5</v>
      </c>
      <c r="S51" s="44">
        <v>1950</v>
      </c>
      <c r="T51" s="44">
        <v>1601</v>
      </c>
      <c r="U51" s="44">
        <v>1343</v>
      </c>
      <c r="V51" s="45">
        <f>S51*$G59/860</f>
        <v>45.348837209302324</v>
      </c>
      <c r="W51" s="45">
        <f t="shared" ref="W51" si="6">T51*$G59/860</f>
        <v>37.232558139534881</v>
      </c>
      <c r="X51" s="45">
        <f t="shared" ref="X51" si="7">U51*$G59/860</f>
        <v>31.232558139534884</v>
      </c>
    </row>
    <row r="52" spans="1:24" s="2" customFormat="1" ht="15.6" hidden="1" x14ac:dyDescent="0.3">
      <c r="A52" s="34"/>
      <c r="B52" s="37"/>
      <c r="F52" s="9"/>
      <c r="G52" s="9"/>
      <c r="I52" s="9"/>
      <c r="J52" s="9"/>
      <c r="M52" s="35"/>
      <c r="N52" s="47" t="s">
        <v>28</v>
      </c>
      <c r="O52" s="2">
        <f>IF(G47=N52,1,0)</f>
        <v>0</v>
      </c>
      <c r="P52" s="9" t="s">
        <v>15</v>
      </c>
      <c r="Q52" s="41">
        <v>2</v>
      </c>
      <c r="R52" s="44">
        <v>5</v>
      </c>
      <c r="S52" s="44">
        <v>1010</v>
      </c>
      <c r="T52" s="44">
        <v>880</v>
      </c>
      <c r="U52" s="44">
        <v>714</v>
      </c>
      <c r="V52" s="45">
        <f>S52*$G59/860</f>
        <v>23.488372093023255</v>
      </c>
      <c r="W52" s="45">
        <f t="shared" ref="W52" si="8">T52*$G59/860</f>
        <v>20.465116279069768</v>
      </c>
      <c r="X52" s="45">
        <f t="shared" ref="X52" si="9">U52*$G59/860</f>
        <v>16.604651162790699</v>
      </c>
    </row>
    <row r="53" spans="1:24" s="2" customFormat="1" ht="15.6" hidden="1" x14ac:dyDescent="0.3">
      <c r="A53" s="34"/>
      <c r="B53" s="37"/>
      <c r="F53" s="9"/>
      <c r="G53" s="9"/>
      <c r="I53" s="9"/>
      <c r="J53" s="9"/>
      <c r="M53" s="35"/>
      <c r="N53" s="47" t="s">
        <v>29</v>
      </c>
      <c r="O53" s="2">
        <f>IF(G47=N53,1,0)</f>
        <v>0</v>
      </c>
      <c r="P53" s="9" t="s">
        <v>15</v>
      </c>
      <c r="Q53" s="41">
        <v>2.4</v>
      </c>
      <c r="R53" s="44">
        <v>5</v>
      </c>
      <c r="S53" s="44">
        <v>1212</v>
      </c>
      <c r="T53" s="44">
        <v>989</v>
      </c>
      <c r="U53" s="44">
        <v>829</v>
      </c>
      <c r="V53" s="45">
        <f>S53*$G59/860</f>
        <v>28.186046511627907</v>
      </c>
      <c r="W53" s="45">
        <f t="shared" ref="W53" si="10">T53*$G59/860</f>
        <v>23</v>
      </c>
      <c r="X53" s="45">
        <f t="shared" ref="X53" si="11">U53*$G59/860</f>
        <v>19.279069767441861</v>
      </c>
    </row>
    <row r="54" spans="1:24" s="2" customFormat="1" ht="15.6" hidden="1" x14ac:dyDescent="0.3">
      <c r="A54" s="34"/>
      <c r="B54" s="37"/>
      <c r="F54" s="9"/>
      <c r="G54" s="9"/>
      <c r="I54" s="9"/>
      <c r="J54" s="9"/>
      <c r="M54" s="35"/>
      <c r="N54" s="47" t="s">
        <v>30</v>
      </c>
      <c r="O54" s="2">
        <f>IF(G47=N54,1,0)</f>
        <v>0</v>
      </c>
      <c r="P54" s="9" t="s">
        <v>15</v>
      </c>
      <c r="Q54" s="41">
        <v>3.1</v>
      </c>
      <c r="R54" s="44">
        <v>5</v>
      </c>
      <c r="S54" s="44">
        <v>1497</v>
      </c>
      <c r="T54" s="44">
        <v>1143</v>
      </c>
      <c r="U54" s="44">
        <v>949</v>
      </c>
      <c r="V54" s="45">
        <f>S54*$G59/860</f>
        <v>34.813953488372093</v>
      </c>
      <c r="W54" s="45">
        <f t="shared" ref="W54" si="12">T54*$G59/860</f>
        <v>26.581395348837209</v>
      </c>
      <c r="X54" s="45">
        <f t="shared" ref="X54" si="13">U54*$G59/860</f>
        <v>22.069767441860463</v>
      </c>
    </row>
    <row r="55" spans="1:24" s="2" customFormat="1" ht="15.6" hidden="1" x14ac:dyDescent="0.3">
      <c r="A55" s="34"/>
      <c r="B55" s="37"/>
      <c r="F55" s="9"/>
      <c r="G55" s="9"/>
      <c r="I55" s="9"/>
      <c r="J55" s="9"/>
      <c r="M55" s="35"/>
      <c r="N55" s="47" t="s">
        <v>31</v>
      </c>
      <c r="O55" s="2">
        <f>IF(G47=N55,1,0)</f>
        <v>0</v>
      </c>
      <c r="P55" s="9" t="s">
        <v>15</v>
      </c>
      <c r="Q55" s="41">
        <v>1.7</v>
      </c>
      <c r="R55" s="44">
        <v>5</v>
      </c>
      <c r="S55" s="44">
        <v>858</v>
      </c>
      <c r="T55" s="44">
        <v>781</v>
      </c>
      <c r="U55" s="44">
        <v>607</v>
      </c>
      <c r="V55" s="45">
        <f>S55*$G59/860</f>
        <v>19.953488372093023</v>
      </c>
      <c r="W55" s="45">
        <f t="shared" ref="W55" si="14">T55*$G59/860</f>
        <v>18.162790697674417</v>
      </c>
      <c r="X55" s="45">
        <f t="shared" ref="X55" si="15">U55*$G59/860</f>
        <v>14.116279069767442</v>
      </c>
    </row>
    <row r="56" spans="1:24" s="2" customFormat="1" ht="15.6" hidden="1" x14ac:dyDescent="0.3">
      <c r="A56" s="34"/>
      <c r="B56" s="37"/>
      <c r="F56" s="9"/>
      <c r="G56" s="9"/>
      <c r="I56" s="9"/>
      <c r="J56" s="9"/>
      <c r="M56" s="35"/>
      <c r="N56" s="47" t="s">
        <v>32</v>
      </c>
      <c r="O56" s="2">
        <f>IF(G47=N56,1,0)</f>
        <v>0</v>
      </c>
      <c r="P56" s="9" t="s">
        <v>15</v>
      </c>
      <c r="Q56" s="41">
        <v>1.9</v>
      </c>
      <c r="R56" s="44">
        <v>5</v>
      </c>
      <c r="S56" s="44">
        <v>1000</v>
      </c>
      <c r="T56" s="44">
        <v>850</v>
      </c>
      <c r="U56" s="44">
        <v>678</v>
      </c>
      <c r="V56" s="45">
        <f>S56*$G59/860</f>
        <v>23.255813953488371</v>
      </c>
      <c r="W56" s="45">
        <f t="shared" ref="W56" si="16">T56*$G59/860</f>
        <v>19.767441860465116</v>
      </c>
      <c r="X56" s="45">
        <f t="shared" ref="X56" si="17">U56*$G59/860</f>
        <v>15.767441860465116</v>
      </c>
    </row>
    <row r="57" spans="1:24" ht="8.25" customHeight="1" x14ac:dyDescent="0.35">
      <c r="A57" s="7"/>
      <c r="F57" s="33"/>
      <c r="G57" s="33"/>
      <c r="H57" s="33"/>
      <c r="I57" s="33"/>
      <c r="J57" s="33"/>
      <c r="M57" s="10"/>
      <c r="N57" s="48"/>
    </row>
    <row r="58" spans="1:24" x14ac:dyDescent="0.3">
      <c r="A58" s="7"/>
      <c r="B58" t="s">
        <v>58</v>
      </c>
      <c r="G58" s="61">
        <v>0</v>
      </c>
      <c r="H58" s="71" t="str">
        <f>IF(G21+G58+G95&gt;3,"Nombre max. de modules en total = 3","")</f>
        <v/>
      </c>
      <c r="I58" s="71"/>
      <c r="J58" s="71"/>
      <c r="K58" s="71"/>
      <c r="L58" s="71"/>
      <c r="M58" s="10"/>
      <c r="O58" s="2">
        <v>0</v>
      </c>
    </row>
    <row r="59" spans="1:24" x14ac:dyDescent="0.3">
      <c r="A59" s="7"/>
      <c r="B59" t="s">
        <v>55</v>
      </c>
      <c r="G59" s="61">
        <v>20</v>
      </c>
      <c r="H59" t="s">
        <v>1</v>
      </c>
      <c r="M59" s="10"/>
      <c r="N59" s="49"/>
      <c r="O59" s="2">
        <v>1</v>
      </c>
    </row>
    <row r="60" spans="1:24" ht="15.6" x14ac:dyDescent="0.3">
      <c r="A60" s="7"/>
      <c r="B60" t="s">
        <v>48</v>
      </c>
      <c r="G60" s="61">
        <v>1000</v>
      </c>
      <c r="H60" s="22" t="s">
        <v>2</v>
      </c>
      <c r="I60" s="8"/>
      <c r="J60" s="8"/>
      <c r="K60" s="51"/>
      <c r="L60" s="25"/>
      <c r="M60" s="10"/>
      <c r="N60" s="49"/>
      <c r="O60" s="2">
        <v>2</v>
      </c>
      <c r="P60" s="54"/>
      <c r="Q60" s="11"/>
      <c r="R60" s="11"/>
      <c r="S60" s="11"/>
      <c r="T60" s="11"/>
      <c r="U60" s="11"/>
      <c r="V60" s="11"/>
      <c r="W60" s="11"/>
      <c r="X60" s="11"/>
    </row>
    <row r="61" spans="1:24" x14ac:dyDescent="0.3">
      <c r="A61" s="7"/>
      <c r="L61" s="12" t="s">
        <v>49</v>
      </c>
      <c r="M61" s="10"/>
      <c r="N61" s="49"/>
      <c r="O61" s="2">
        <v>3</v>
      </c>
    </row>
    <row r="62" spans="1:24" ht="15.6" x14ac:dyDescent="0.3">
      <c r="A62" s="7"/>
      <c r="B62" s="13" t="s">
        <v>50</v>
      </c>
      <c r="E62" s="30" t="str">
        <f>IF(G58=0,"- -",G60*G59/860)</f>
        <v>- -</v>
      </c>
      <c r="F62" s="21" t="s">
        <v>0</v>
      </c>
      <c r="H62" s="58" t="s">
        <v>62</v>
      </c>
      <c r="I62" s="56" t="str">
        <f>IF(G58=0,"- -",IF(AND(O47=1,O64=1),V47,IF(AND(O47=1,O65=1),W47,IF(AND(O47=1,O66=1),X47,IF(AND(O48=1,O64=1),V48,IF(AND(O48=1,O65=1),W48,IF(AND(O48=1,O66=1),X48,IF(AND(O49=1,O64=1),V49,IF(AND(O49=1,O65=1),W49,IF(AND(O49=1,O66=1),X49,IF(AND(O50=1,O64=1),V50,IF(AND(O50=1,O65=1),W50,IF(AND(O50=1,O66=1),X50,IF(AND(O51=1,O64=1),V51,IF(AND(O51=1,O65=1),W51,IF(AND(O51=1,O66=1),X51,IF(AND(O52=1,O64=1),V52,IF(AND(O52=1,O65=1),W52,IF(AND(O52=1,O66=1),X52,IF(AND(O53=1,O64=1),V53,IF(AND(O53=1,O65=1),W53,IF(AND(O53=1,O66=1),X53,IF(AND(O54=1,O64=1),V54,IF(AND(O54=1,O65=1),W54,IF(AND(O54=1,O66=1),X54,IF(AND(O55=1,O64=1),V55,IF(AND(O55=1,O65=1),W55,IF(AND(O55=1,O66=1),X55,IF(AND(O56=1,O64=1),V56,IF(AND(O56=1,O65=1),W56,IF(AND(O56=1,O66=1),X56,"Errore")))))))))))))))))))))))))))))))</f>
        <v>- -</v>
      </c>
      <c r="J62" s="59" t="s">
        <v>18</v>
      </c>
      <c r="K62" s="30" t="str">
        <f>IF(G58=0,"- -",G58*E62)</f>
        <v>- -</v>
      </c>
      <c r="L62" s="21" t="s">
        <v>0</v>
      </c>
      <c r="M62" s="10"/>
      <c r="N62" s="57" t="e">
        <f>E62/I62-1</f>
        <v>#VALUE!</v>
      </c>
      <c r="P62" s="28"/>
      <c r="Q62" s="24"/>
      <c r="S62" s="54" t="s">
        <v>13</v>
      </c>
      <c r="T62" s="54" t="s">
        <v>14</v>
      </c>
      <c r="U62" s="54"/>
    </row>
    <row r="63" spans="1:24" x14ac:dyDescent="0.3">
      <c r="A63" s="7"/>
      <c r="M63" s="10"/>
      <c r="P63" s="54" t="s">
        <v>11</v>
      </c>
      <c r="Q63" s="54" t="s">
        <v>10</v>
      </c>
      <c r="R63" s="54" t="s">
        <v>9</v>
      </c>
      <c r="S63" s="54" t="s">
        <v>12</v>
      </c>
      <c r="T63" s="54" t="s">
        <v>12</v>
      </c>
      <c r="U63" s="54"/>
      <c r="V63" s="54" t="s">
        <v>7</v>
      </c>
      <c r="W63" s="54" t="s">
        <v>8</v>
      </c>
      <c r="X63" s="54"/>
    </row>
    <row r="64" spans="1:24" x14ac:dyDescent="0.3">
      <c r="A64" s="7"/>
      <c r="B64" t="s">
        <v>51</v>
      </c>
      <c r="G64" s="68" t="s">
        <v>6</v>
      </c>
      <c r="H64" s="68"/>
      <c r="I64" s="68"/>
      <c r="J64" s="68"/>
      <c r="M64" s="10"/>
      <c r="N64" s="2" t="s">
        <v>6</v>
      </c>
      <c r="O64" s="2">
        <f>IF(N64=G64,1,0)</f>
        <v>1</v>
      </c>
      <c r="P64" s="9">
        <f>IF(O64=1,1,"")</f>
        <v>1</v>
      </c>
      <c r="Q64" s="9">
        <f>IF(O64=1,IF(G60&gt;=R64,2,1),"")</f>
        <v>1</v>
      </c>
      <c r="R64" s="53">
        <v>1400</v>
      </c>
      <c r="S64" s="53">
        <v>-2.2857099999999998E-3</v>
      </c>
      <c r="T64" s="53">
        <v>10.8</v>
      </c>
      <c r="V64" s="53">
        <v>7.6</v>
      </c>
      <c r="W64" s="9">
        <f>G60*S64+T64</f>
        <v>8.5142900000000008</v>
      </c>
    </row>
    <row r="65" spans="1:24" s="2" customFormat="1" hidden="1" x14ac:dyDescent="0.3">
      <c r="A65" s="34"/>
      <c r="F65" s="9"/>
      <c r="G65" s="9"/>
      <c r="I65" s="9"/>
      <c r="J65" s="9"/>
      <c r="M65" s="35"/>
      <c r="N65" s="2" t="s">
        <v>4</v>
      </c>
      <c r="O65" s="2">
        <f>IF(N65=G64,1,0)</f>
        <v>0</v>
      </c>
      <c r="P65" s="9" t="str">
        <f>IF(O65=1,2,"")</f>
        <v/>
      </c>
      <c r="Q65" s="9" t="str">
        <f>IF(O65=1,IF(G60&gt;=R65,2,1),"")</f>
        <v/>
      </c>
      <c r="R65" s="53">
        <v>800</v>
      </c>
      <c r="S65" s="53">
        <v>-2.23077E-3</v>
      </c>
      <c r="T65" s="53">
        <v>8.9350000000000005</v>
      </c>
      <c r="U65" s="9"/>
      <c r="V65" s="53">
        <v>7.15</v>
      </c>
      <c r="W65" s="9">
        <f>G60*S65+T65</f>
        <v>6.7042300000000008</v>
      </c>
      <c r="X65" s="9"/>
    </row>
    <row r="66" spans="1:24" s="2" customFormat="1" hidden="1" x14ac:dyDescent="0.3">
      <c r="A66" s="34"/>
      <c r="F66" s="9"/>
      <c r="G66" s="9"/>
      <c r="I66" s="9"/>
      <c r="J66" s="9"/>
      <c r="M66" s="35"/>
      <c r="N66" s="2" t="s">
        <v>3</v>
      </c>
      <c r="O66" s="2">
        <f>IF(N66=G64,1,0)</f>
        <v>0</v>
      </c>
      <c r="P66" s="9" t="str">
        <f>IF(O66=1,3,"")</f>
        <v/>
      </c>
      <c r="Q66" s="9" t="str">
        <f>IF(O66=1,IF(G60&gt;=R66,2,1),"")</f>
        <v/>
      </c>
      <c r="R66" s="53">
        <v>800</v>
      </c>
      <c r="S66" s="53">
        <v>-2.1538400000000002E-3</v>
      </c>
      <c r="T66" s="53">
        <v>8</v>
      </c>
      <c r="U66" s="9"/>
      <c r="V66" s="53">
        <v>6.3</v>
      </c>
      <c r="W66" s="9">
        <f>G60*S66+T66</f>
        <v>5.8461599999999994</v>
      </c>
      <c r="X66" s="9"/>
    </row>
    <row r="67" spans="1:24" s="2" customFormat="1" ht="18" hidden="1" x14ac:dyDescent="0.35">
      <c r="A67" s="34"/>
      <c r="F67" s="36"/>
      <c r="G67" s="36"/>
      <c r="H67" s="36"/>
      <c r="I67" s="36"/>
      <c r="J67" s="36"/>
      <c r="M67" s="35"/>
      <c r="N67" s="48"/>
      <c r="O67" s="2">
        <f>SUM(O64:O66)</f>
        <v>1</v>
      </c>
      <c r="P67" s="9">
        <f>SUM(P64:P66)</f>
        <v>1</v>
      </c>
      <c r="Q67" s="9">
        <f>SUM(Q64:Q66)</f>
        <v>1</v>
      </c>
      <c r="R67" s="9"/>
      <c r="S67" s="9"/>
      <c r="T67" s="9"/>
      <c r="U67" s="9"/>
      <c r="V67" s="9"/>
      <c r="W67" s="9"/>
      <c r="X67" s="9"/>
    </row>
    <row r="68" spans="1:24" ht="8.25" customHeight="1" x14ac:dyDescent="0.3">
      <c r="A68" s="7"/>
      <c r="M68" s="10"/>
    </row>
    <row r="69" spans="1:24" x14ac:dyDescent="0.3">
      <c r="A69" s="7"/>
      <c r="H69" s="14" t="s">
        <v>52</v>
      </c>
      <c r="I69" s="26" t="str">
        <f>IF(G58=0,"- -",IF(O67=1,IF(AND(P67=1,Q67=1),V64,IF(AND(P67=1,Q67=2),W64,IF(AND(P67=2,Q67=1),V65,IF(AND(P67=2,Q67=2),W65,IF(AND(P67=3,Q67=1),V66,IF(AND(P67=3,Q67=2),W66,"Errore")))))),"- -"))</f>
        <v>- -</v>
      </c>
      <c r="J69" t="s">
        <v>5</v>
      </c>
      <c r="M69" s="10"/>
    </row>
    <row r="70" spans="1:24" x14ac:dyDescent="0.3">
      <c r="A70" s="7"/>
      <c r="H70" s="14" t="s">
        <v>53</v>
      </c>
      <c r="I70" s="26" t="str">
        <f>IF(G58=0,"- -",IF(O67=1,IF(S70&lt;0.2,0.2,S70),"- -"))</f>
        <v>- -</v>
      </c>
      <c r="J70" t="s">
        <v>5</v>
      </c>
      <c r="M70" s="10"/>
      <c r="P70" s="9" t="s">
        <v>15</v>
      </c>
      <c r="Q70" s="24">
        <f>IF(O47=1,Q47,IF(O48=1,Q48,IF(O49=1,Q49,IF(O50=1,Q50,IF(O51=1,Q51,IF(O52=1,Q52,IF(O53=1,Q53,IF(O54=1,Q54,IF(O54=1,Q54,IF(O55=1,Q55,IF(O56=1,Q56,"Errore!")))))))))))</f>
        <v>6</v>
      </c>
      <c r="R70" s="28" t="s">
        <v>16</v>
      </c>
      <c r="S70" s="9">
        <f>(G60/1000/Q70)^2*10.198</f>
        <v>0.28327777777777779</v>
      </c>
    </row>
    <row r="71" spans="1:24" ht="15.6" x14ac:dyDescent="0.3">
      <c r="A71" s="7"/>
      <c r="H71" s="15" t="s">
        <v>54</v>
      </c>
      <c r="I71" s="23" t="str">
        <f>IF(G58=0,"- -",IF(O67=1,I69-I70,"- -"))</f>
        <v>- -</v>
      </c>
      <c r="J71" s="16" t="s">
        <v>5</v>
      </c>
      <c r="K71" s="46"/>
      <c r="M71" s="10"/>
      <c r="N71" s="32"/>
    </row>
    <row r="72" spans="1:24" ht="9" customHeight="1" x14ac:dyDescent="0.3">
      <c r="A72" s="7"/>
      <c r="H72" s="15"/>
      <c r="I72" s="23"/>
      <c r="J72" s="16"/>
      <c r="M72" s="10"/>
      <c r="N72" s="32"/>
    </row>
    <row r="73" spans="1:24" ht="15.6" x14ac:dyDescent="0.3">
      <c r="A73" s="7"/>
      <c r="B73" s="13" t="str">
        <f>IF(G59&lt;=12,"Calcul installation plancher chauffant:","Calcul installation plancher chauffant non disponible avec Δt &gt; 12 K")</f>
        <v>Calcul installation plancher chauffant non disponible avec Δt &gt; 12 K</v>
      </c>
      <c r="H73" s="15"/>
      <c r="I73" s="23"/>
      <c r="J73" s="16"/>
      <c r="M73" s="10"/>
      <c r="N73" s="32"/>
      <c r="S73" s="54" t="s">
        <v>19</v>
      </c>
    </row>
    <row r="74" spans="1:24" ht="9" customHeight="1" x14ac:dyDescent="0.3">
      <c r="A74" s="7"/>
      <c r="H74" s="15"/>
      <c r="I74" s="23"/>
      <c r="J74" s="16"/>
      <c r="M74" s="10"/>
      <c r="N74" s="32"/>
    </row>
    <row r="75" spans="1:24" x14ac:dyDescent="0.3">
      <c r="A75" s="7"/>
      <c r="B75" t="s">
        <v>56</v>
      </c>
      <c r="F75" s="14"/>
      <c r="G75" s="62" t="s">
        <v>24</v>
      </c>
      <c r="I75" s="38" t="str">
        <f>IF(G59&gt;12,"","Utiliser Δt =")</f>
        <v/>
      </c>
      <c r="J75" s="16" t="str">
        <f>IF(G59&gt;12,"",IF(G75=N75,P75,IF(G75=N76,P76,IF(G75=N77,P77,""))))</f>
        <v/>
      </c>
      <c r="M75" s="10"/>
      <c r="N75" s="24" t="s">
        <v>23</v>
      </c>
      <c r="O75" s="2">
        <f>IF(N75=G75,1,0)</f>
        <v>0</v>
      </c>
      <c r="P75" s="9" t="s">
        <v>20</v>
      </c>
      <c r="Q75" s="31">
        <f>T75*S75</f>
        <v>34.375</v>
      </c>
      <c r="R75" s="24" t="s">
        <v>17</v>
      </c>
      <c r="S75" s="53">
        <v>1.375</v>
      </c>
      <c r="T75" s="42">
        <v>25</v>
      </c>
      <c r="U75" s="27"/>
      <c r="V75" s="24" t="s">
        <v>17</v>
      </c>
    </row>
    <row r="76" spans="1:24" s="2" customFormat="1" ht="15.6" hidden="1" x14ac:dyDescent="0.3">
      <c r="A76" s="34"/>
      <c r="F76" s="27"/>
      <c r="G76" s="39"/>
      <c r="H76" s="40"/>
      <c r="I76" s="39"/>
      <c r="J76" s="32"/>
      <c r="M76" s="35"/>
      <c r="N76" s="24" t="s">
        <v>24</v>
      </c>
      <c r="O76" s="2">
        <f>IF(N76=G75,1,0)</f>
        <v>1</v>
      </c>
      <c r="P76" s="9" t="s">
        <v>21</v>
      </c>
      <c r="Q76" s="31">
        <f>T76*S76</f>
        <v>110</v>
      </c>
      <c r="R76" s="24" t="s">
        <v>17</v>
      </c>
      <c r="S76" s="53">
        <v>1.375</v>
      </c>
      <c r="T76" s="43">
        <v>80</v>
      </c>
      <c r="U76" s="31"/>
      <c r="V76" s="24" t="s">
        <v>17</v>
      </c>
      <c r="W76" s="9"/>
      <c r="X76" s="9"/>
    </row>
    <row r="77" spans="1:24" s="2" customFormat="1" ht="15.6" hidden="1" x14ac:dyDescent="0.3">
      <c r="A77" s="34"/>
      <c r="F77" s="27"/>
      <c r="G77" s="39"/>
      <c r="H77" s="40"/>
      <c r="I77" s="39"/>
      <c r="J77" s="32"/>
      <c r="M77" s="35"/>
      <c r="N77" s="24" t="s">
        <v>25</v>
      </c>
      <c r="O77" s="2">
        <f>IF(N77=G75,1,0)</f>
        <v>0</v>
      </c>
      <c r="P77" s="9" t="s">
        <v>22</v>
      </c>
      <c r="Q77" s="31">
        <f>T77*S77</f>
        <v>192.5</v>
      </c>
      <c r="R77" s="24" t="s">
        <v>17</v>
      </c>
      <c r="S77" s="53">
        <v>1.375</v>
      </c>
      <c r="T77" s="42">
        <v>140</v>
      </c>
      <c r="U77" s="27"/>
      <c r="V77" s="24" t="s">
        <v>17</v>
      </c>
      <c r="W77" s="9"/>
      <c r="X77" s="9"/>
    </row>
    <row r="78" spans="1:24" s="2" customFormat="1" ht="18" hidden="1" x14ac:dyDescent="0.35">
      <c r="A78" s="34"/>
      <c r="F78" s="36"/>
      <c r="G78" s="36"/>
      <c r="H78" s="36"/>
      <c r="I78" s="36"/>
      <c r="J78" s="36"/>
      <c r="M78" s="35"/>
      <c r="N78" s="48"/>
      <c r="O78" s="2">
        <f>SUM(O75:O77)</f>
        <v>1</v>
      </c>
      <c r="P78" s="9">
        <f>SUM(P75:P77)</f>
        <v>0</v>
      </c>
      <c r="Q78" s="27"/>
      <c r="R78" s="9"/>
      <c r="S78" s="9"/>
      <c r="T78" s="9"/>
      <c r="U78" s="9"/>
      <c r="V78" s="9"/>
      <c r="W78" s="9"/>
      <c r="X78" s="9"/>
    </row>
    <row r="79" spans="1:24" ht="9" customHeight="1" x14ac:dyDescent="0.3">
      <c r="A79" s="7"/>
      <c r="H79" s="15"/>
      <c r="I79" s="23"/>
      <c r="J79" s="16"/>
      <c r="M79" s="10"/>
      <c r="N79" s="32"/>
    </row>
    <row r="80" spans="1:24" ht="44.25" customHeight="1" x14ac:dyDescent="0.3">
      <c r="A80" s="7"/>
      <c r="B80" s="65" t="str">
        <f>IF(G59&gt;12,"","Surface maxima du plancher chauffant gérable par chaque Module, avec un saut thermique proportionné à la classe d’isolation thermique sélectionnée:")</f>
        <v/>
      </c>
      <c r="C80" s="65"/>
      <c r="D80" s="65"/>
      <c r="E80" s="65"/>
      <c r="F80" s="65"/>
      <c r="G80" s="65"/>
      <c r="H80" s="65"/>
      <c r="I80" s="52" t="str">
        <f>IF(G59&gt;12,"",IF(G58=0,"- -",IF(G59&lt;=12,IF(O75=1,E62*1000/Q75,IF(O76=1,E62*1000/Q76,IF(O77=1,E62*1000/Q77,"- -"))),"- - ")))</f>
        <v/>
      </c>
      <c r="J80" s="29" t="str">
        <f>IF(G59&gt;12,"","m2")</f>
        <v/>
      </c>
      <c r="M80" s="10"/>
      <c r="N80" s="50"/>
      <c r="Q80" s="27"/>
    </row>
    <row r="81" spans="1:24" ht="10.5" customHeight="1" x14ac:dyDescent="0.3">
      <c r="A81" s="17"/>
      <c r="B81" s="18"/>
      <c r="C81" s="18"/>
      <c r="D81" s="18"/>
      <c r="E81" s="18"/>
      <c r="F81" s="19"/>
      <c r="G81" s="18"/>
      <c r="H81" s="18"/>
      <c r="I81" s="19"/>
      <c r="J81" s="19"/>
      <c r="K81" s="18"/>
      <c r="L81" s="18"/>
      <c r="M81" s="20"/>
    </row>
    <row r="82" spans="1:24" ht="11.25" customHeight="1" x14ac:dyDescent="0.3"/>
    <row r="83" spans="1:24" ht="10.5" customHeight="1" x14ac:dyDescent="0.3">
      <c r="A83" s="3"/>
      <c r="B83" s="4"/>
      <c r="C83" s="4"/>
      <c r="D83" s="4"/>
      <c r="E83" s="4"/>
      <c r="F83" s="5"/>
      <c r="G83" s="4"/>
      <c r="H83" s="4"/>
      <c r="I83" s="5"/>
      <c r="J83" s="5"/>
      <c r="K83" s="4"/>
      <c r="L83" s="4"/>
      <c r="M83" s="6"/>
      <c r="Q83" s="53"/>
      <c r="R83" s="44"/>
      <c r="S83" s="44"/>
      <c r="T83" s="44"/>
      <c r="U83" s="44"/>
    </row>
    <row r="84" spans="1:24" ht="15.6" x14ac:dyDescent="0.3">
      <c r="A84" s="7"/>
      <c r="B84" s="8" t="s">
        <v>60</v>
      </c>
      <c r="G84" s="70" t="s">
        <v>33</v>
      </c>
      <c r="H84" s="70"/>
      <c r="I84" s="70"/>
      <c r="J84" s="70"/>
      <c r="M84" s="10"/>
      <c r="N84" s="47" t="s">
        <v>33</v>
      </c>
      <c r="O84" s="2">
        <f>IF(G84=N84,1,0)</f>
        <v>1</v>
      </c>
      <c r="P84" s="9" t="s">
        <v>15</v>
      </c>
      <c r="Q84" s="41">
        <v>6</v>
      </c>
      <c r="R84" s="44">
        <v>4.0999999999999996</v>
      </c>
      <c r="S84" s="44">
        <v>2284</v>
      </c>
      <c r="T84" s="44">
        <v>1770</v>
      </c>
      <c r="U84" s="44">
        <v>1511</v>
      </c>
      <c r="V84" s="45">
        <f>S84*$G96/860</f>
        <v>53.116279069767444</v>
      </c>
      <c r="W84" s="45">
        <f>T84*$G96/860</f>
        <v>41.162790697674417</v>
      </c>
      <c r="X84" s="45">
        <f>U84*$G96/860</f>
        <v>35.139534883720927</v>
      </c>
    </row>
    <row r="85" spans="1:24" s="2" customFormat="1" ht="15.6" hidden="1" x14ac:dyDescent="0.3">
      <c r="A85" s="34"/>
      <c r="B85" s="37"/>
      <c r="F85" s="9"/>
      <c r="G85" s="9"/>
      <c r="I85" s="9"/>
      <c r="J85" s="9"/>
      <c r="M85" s="35"/>
      <c r="N85" s="47" t="s">
        <v>34</v>
      </c>
      <c r="O85" s="2">
        <f>IF(G84=N85,1,0)</f>
        <v>0</v>
      </c>
      <c r="P85" s="9" t="s">
        <v>15</v>
      </c>
      <c r="Q85" s="41">
        <v>2.7</v>
      </c>
      <c r="R85" s="44">
        <v>5</v>
      </c>
      <c r="S85" s="44">
        <v>1363</v>
      </c>
      <c r="T85" s="44">
        <v>1060</v>
      </c>
      <c r="U85" s="44">
        <v>885</v>
      </c>
      <c r="V85" s="45">
        <f>S85*$G96/860</f>
        <v>31.697674418604652</v>
      </c>
      <c r="W85" s="45">
        <f>T85*$G96/860</f>
        <v>24.651162790697676</v>
      </c>
      <c r="X85" s="45">
        <f>U85*$G96/860</f>
        <v>20.581395348837209</v>
      </c>
    </row>
    <row r="86" spans="1:24" s="2" customFormat="1" ht="15.6" hidden="1" x14ac:dyDescent="0.3">
      <c r="A86" s="34"/>
      <c r="B86" s="37"/>
      <c r="F86" s="9"/>
      <c r="G86" s="9"/>
      <c r="I86" s="9"/>
      <c r="J86" s="9"/>
      <c r="M86" s="35"/>
      <c r="N86" s="47" t="s">
        <v>35</v>
      </c>
      <c r="O86" s="2">
        <f>IF(G84=N86,1,0)</f>
        <v>0</v>
      </c>
      <c r="P86" s="9" t="s">
        <v>15</v>
      </c>
      <c r="Q86" s="41">
        <v>3.8</v>
      </c>
      <c r="R86" s="44">
        <v>5</v>
      </c>
      <c r="S86" s="44">
        <v>1673</v>
      </c>
      <c r="T86" s="44">
        <v>1261</v>
      </c>
      <c r="U86" s="44">
        <v>1039</v>
      </c>
      <c r="V86" s="45">
        <f>S86*$G96/860</f>
        <v>38.906976744186046</v>
      </c>
      <c r="W86" s="45">
        <f>T86*$G96/860</f>
        <v>29.325581395348838</v>
      </c>
      <c r="X86" s="45">
        <f>U86*$G96/860</f>
        <v>24.162790697674417</v>
      </c>
    </row>
    <row r="87" spans="1:24" s="2" customFormat="1" ht="15.6" hidden="1" x14ac:dyDescent="0.3">
      <c r="A87" s="34"/>
      <c r="B87" s="37"/>
      <c r="F87" s="9"/>
      <c r="G87" s="9"/>
      <c r="I87" s="9"/>
      <c r="J87" s="9"/>
      <c r="M87" s="35"/>
      <c r="N87" s="47" t="s">
        <v>26</v>
      </c>
      <c r="O87" s="2">
        <f>IF(G84=N87,1,0)</f>
        <v>0</v>
      </c>
      <c r="P87" s="9" t="s">
        <v>15</v>
      </c>
      <c r="Q87" s="41">
        <v>4</v>
      </c>
      <c r="R87" s="44">
        <v>4.5</v>
      </c>
      <c r="S87" s="44">
        <v>1826</v>
      </c>
      <c r="T87" s="44">
        <v>1416</v>
      </c>
      <c r="U87" s="44">
        <v>1199</v>
      </c>
      <c r="V87" s="45">
        <f>S87*$G96/860</f>
        <v>42.465116279069768</v>
      </c>
      <c r="W87" s="45">
        <f>T87*$G96/860</f>
        <v>32.930232558139537</v>
      </c>
      <c r="X87" s="45">
        <f>U87*$G96/860</f>
        <v>27.88372093023256</v>
      </c>
    </row>
    <row r="88" spans="1:24" s="2" customFormat="1" ht="15.6" hidden="1" x14ac:dyDescent="0.3">
      <c r="A88" s="34"/>
      <c r="B88" s="37"/>
      <c r="F88" s="9"/>
      <c r="G88" s="9"/>
      <c r="I88" s="9"/>
      <c r="J88" s="9"/>
      <c r="M88" s="35"/>
      <c r="N88" s="47" t="s">
        <v>27</v>
      </c>
      <c r="O88" s="2">
        <f>IF(G84=N88,1,0)</f>
        <v>0</v>
      </c>
      <c r="P88" s="9" t="s">
        <v>15</v>
      </c>
      <c r="Q88" s="41">
        <v>5.5</v>
      </c>
      <c r="R88" s="44">
        <v>4.5</v>
      </c>
      <c r="S88" s="44">
        <v>1950</v>
      </c>
      <c r="T88" s="44">
        <v>1601</v>
      </c>
      <c r="U88" s="44">
        <v>1343</v>
      </c>
      <c r="V88" s="45">
        <f>S88*$G96/860</f>
        <v>45.348837209302324</v>
      </c>
      <c r="W88" s="45">
        <f t="shared" ref="W88" si="18">T88*$G96/860</f>
        <v>37.232558139534881</v>
      </c>
      <c r="X88" s="45">
        <f t="shared" ref="X88" si="19">U88*$G96/860</f>
        <v>31.232558139534884</v>
      </c>
    </row>
    <row r="89" spans="1:24" s="2" customFormat="1" ht="15.6" hidden="1" x14ac:dyDescent="0.3">
      <c r="A89" s="34"/>
      <c r="B89" s="37"/>
      <c r="F89" s="9"/>
      <c r="G89" s="9"/>
      <c r="I89" s="9"/>
      <c r="J89" s="9"/>
      <c r="M89" s="35"/>
      <c r="N89" s="47" t="s">
        <v>28</v>
      </c>
      <c r="O89" s="2">
        <f>IF(G84=N89,1,0)</f>
        <v>0</v>
      </c>
      <c r="P89" s="9" t="s">
        <v>15</v>
      </c>
      <c r="Q89" s="41">
        <v>2</v>
      </c>
      <c r="R89" s="44">
        <v>5</v>
      </c>
      <c r="S89" s="44">
        <v>1010</v>
      </c>
      <c r="T89" s="44">
        <v>880</v>
      </c>
      <c r="U89" s="44">
        <v>714</v>
      </c>
      <c r="V89" s="45">
        <f>S89*$G96/860</f>
        <v>23.488372093023255</v>
      </c>
      <c r="W89" s="45">
        <f t="shared" ref="W89" si="20">T89*$G96/860</f>
        <v>20.465116279069768</v>
      </c>
      <c r="X89" s="45">
        <f t="shared" ref="X89" si="21">U89*$G96/860</f>
        <v>16.604651162790699</v>
      </c>
    </row>
    <row r="90" spans="1:24" s="2" customFormat="1" ht="15.6" hidden="1" x14ac:dyDescent="0.3">
      <c r="A90" s="34"/>
      <c r="B90" s="37"/>
      <c r="F90" s="9"/>
      <c r="G90" s="9"/>
      <c r="I90" s="9"/>
      <c r="J90" s="9"/>
      <c r="M90" s="35"/>
      <c r="N90" s="47" t="s">
        <v>29</v>
      </c>
      <c r="O90" s="2">
        <f>IF(G84=N90,1,0)</f>
        <v>0</v>
      </c>
      <c r="P90" s="9" t="s">
        <v>15</v>
      </c>
      <c r="Q90" s="41">
        <v>2.4</v>
      </c>
      <c r="R90" s="44">
        <v>5</v>
      </c>
      <c r="S90" s="44">
        <v>1212</v>
      </c>
      <c r="T90" s="44">
        <v>989</v>
      </c>
      <c r="U90" s="44">
        <v>829</v>
      </c>
      <c r="V90" s="45">
        <f>S90*$G96/860</f>
        <v>28.186046511627907</v>
      </c>
      <c r="W90" s="45">
        <f t="shared" ref="W90" si="22">T90*$G96/860</f>
        <v>23</v>
      </c>
      <c r="X90" s="45">
        <f t="shared" ref="X90" si="23">U90*$G96/860</f>
        <v>19.279069767441861</v>
      </c>
    </row>
    <row r="91" spans="1:24" s="2" customFormat="1" ht="15.6" hidden="1" x14ac:dyDescent="0.3">
      <c r="A91" s="34"/>
      <c r="B91" s="37"/>
      <c r="F91" s="9"/>
      <c r="G91" s="9"/>
      <c r="I91" s="9"/>
      <c r="J91" s="9"/>
      <c r="M91" s="35"/>
      <c r="N91" s="47" t="s">
        <v>30</v>
      </c>
      <c r="O91" s="2">
        <f>IF(G84=N91,1,0)</f>
        <v>0</v>
      </c>
      <c r="P91" s="9" t="s">
        <v>15</v>
      </c>
      <c r="Q91" s="41">
        <v>3.1</v>
      </c>
      <c r="R91" s="44">
        <v>5</v>
      </c>
      <c r="S91" s="44">
        <v>1497</v>
      </c>
      <c r="T91" s="44">
        <v>1143</v>
      </c>
      <c r="U91" s="44">
        <v>949</v>
      </c>
      <c r="V91" s="45">
        <f>S91*$G96/860</f>
        <v>34.813953488372093</v>
      </c>
      <c r="W91" s="45">
        <f t="shared" ref="W91" si="24">T91*$G96/860</f>
        <v>26.581395348837209</v>
      </c>
      <c r="X91" s="45">
        <f t="shared" ref="X91" si="25">U91*$G96/860</f>
        <v>22.069767441860463</v>
      </c>
    </row>
    <row r="92" spans="1:24" s="2" customFormat="1" ht="15.6" hidden="1" x14ac:dyDescent="0.3">
      <c r="A92" s="34"/>
      <c r="B92" s="37"/>
      <c r="F92" s="9"/>
      <c r="G92" s="9"/>
      <c r="I92" s="9"/>
      <c r="J92" s="9"/>
      <c r="M92" s="35"/>
      <c r="N92" s="47" t="s">
        <v>31</v>
      </c>
      <c r="O92" s="2">
        <f>IF(G84=N92,1,0)</f>
        <v>0</v>
      </c>
      <c r="P92" s="9" t="s">
        <v>15</v>
      </c>
      <c r="Q92" s="41">
        <v>1.7</v>
      </c>
      <c r="R92" s="44">
        <v>5</v>
      </c>
      <c r="S92" s="44">
        <v>858</v>
      </c>
      <c r="T92" s="44">
        <v>781</v>
      </c>
      <c r="U92" s="44">
        <v>607</v>
      </c>
      <c r="V92" s="45">
        <f>S92*$G96/860</f>
        <v>19.953488372093023</v>
      </c>
      <c r="W92" s="45">
        <f t="shared" ref="W92" si="26">T92*$G96/860</f>
        <v>18.162790697674417</v>
      </c>
      <c r="X92" s="45">
        <f t="shared" ref="X92" si="27">U92*$G96/860</f>
        <v>14.116279069767442</v>
      </c>
    </row>
    <row r="93" spans="1:24" s="2" customFormat="1" ht="15.6" hidden="1" x14ac:dyDescent="0.3">
      <c r="A93" s="34"/>
      <c r="B93" s="37"/>
      <c r="F93" s="9"/>
      <c r="G93" s="9"/>
      <c r="I93" s="9"/>
      <c r="J93" s="9"/>
      <c r="M93" s="35"/>
      <c r="N93" s="47" t="s">
        <v>32</v>
      </c>
      <c r="O93" s="2">
        <f>IF(G84=N93,1,0)</f>
        <v>0</v>
      </c>
      <c r="P93" s="9" t="s">
        <v>15</v>
      </c>
      <c r="Q93" s="41">
        <v>1.9</v>
      </c>
      <c r="R93" s="44">
        <v>5</v>
      </c>
      <c r="S93" s="44">
        <v>1000</v>
      </c>
      <c r="T93" s="44">
        <v>850</v>
      </c>
      <c r="U93" s="44">
        <v>678</v>
      </c>
      <c r="V93" s="45">
        <f>S93*$G96/860</f>
        <v>23.255813953488371</v>
      </c>
      <c r="W93" s="45">
        <f t="shared" ref="W93" si="28">T93*$G96/860</f>
        <v>19.767441860465116</v>
      </c>
      <c r="X93" s="45">
        <f t="shared" ref="X93" si="29">U93*$G96/860</f>
        <v>15.767441860465116</v>
      </c>
    </row>
    <row r="94" spans="1:24" ht="8.25" customHeight="1" x14ac:dyDescent="0.35">
      <c r="A94" s="7"/>
      <c r="F94" s="33"/>
      <c r="G94" s="33"/>
      <c r="H94" s="33"/>
      <c r="I94" s="33"/>
      <c r="J94" s="33"/>
      <c r="M94" s="10"/>
      <c r="N94" s="48"/>
    </row>
    <row r="95" spans="1:24" x14ac:dyDescent="0.3">
      <c r="A95" s="7"/>
      <c r="B95" t="s">
        <v>58</v>
      </c>
      <c r="G95" s="61">
        <v>0</v>
      </c>
      <c r="H95" s="71" t="str">
        <f>IF(G21+G58+G95&gt;3,"Nombre max. de modules en total = 3","")</f>
        <v/>
      </c>
      <c r="I95" s="71"/>
      <c r="J95" s="71"/>
      <c r="K95" s="71"/>
      <c r="L95" s="71"/>
      <c r="M95" s="10"/>
      <c r="O95" s="2">
        <v>0</v>
      </c>
    </row>
    <row r="96" spans="1:24" x14ac:dyDescent="0.3">
      <c r="A96" s="7"/>
      <c r="B96" t="s">
        <v>55</v>
      </c>
      <c r="G96" s="61">
        <v>20</v>
      </c>
      <c r="H96" t="s">
        <v>1</v>
      </c>
      <c r="M96" s="10"/>
      <c r="N96" s="49"/>
      <c r="O96" s="2">
        <v>1</v>
      </c>
    </row>
    <row r="97" spans="1:24" ht="15.6" x14ac:dyDescent="0.3">
      <c r="A97" s="7"/>
      <c r="B97" t="s">
        <v>48</v>
      </c>
      <c r="G97" s="61">
        <v>1000</v>
      </c>
      <c r="H97" s="22" t="s">
        <v>2</v>
      </c>
      <c r="I97" s="8"/>
      <c r="J97" s="8"/>
      <c r="K97" s="51"/>
      <c r="L97" s="25"/>
      <c r="M97" s="10"/>
      <c r="N97" s="49"/>
      <c r="O97" s="2">
        <v>2</v>
      </c>
      <c r="P97" s="54"/>
      <c r="Q97" s="11"/>
      <c r="R97" s="11"/>
      <c r="S97" s="11"/>
      <c r="T97" s="11"/>
      <c r="U97" s="11"/>
      <c r="V97" s="11"/>
      <c r="W97" s="11"/>
      <c r="X97" s="11"/>
    </row>
    <row r="98" spans="1:24" x14ac:dyDescent="0.3">
      <c r="A98" s="7"/>
      <c r="L98" s="12" t="s">
        <v>49</v>
      </c>
      <c r="M98" s="10"/>
      <c r="N98" s="49"/>
      <c r="O98" s="2">
        <v>3</v>
      </c>
    </row>
    <row r="99" spans="1:24" ht="15.6" x14ac:dyDescent="0.3">
      <c r="A99" s="7"/>
      <c r="B99" s="13" t="s">
        <v>50</v>
      </c>
      <c r="E99" s="30" t="str">
        <f>IF(G95=0,"- -",G97*G96/860)</f>
        <v>- -</v>
      </c>
      <c r="F99" s="21" t="s">
        <v>0</v>
      </c>
      <c r="H99" s="58" t="s">
        <v>62</v>
      </c>
      <c r="I99" s="56" t="str">
        <f>IF(G95=0,"- -",IF(AND(O84=1,O101=1),V84,IF(AND(O84=1,O102=1),W84,IF(AND(O84=1,O103=1),X84,IF(AND(O85=1,O101=1),V85,IF(AND(O85=1,O102=1),W85,IF(AND(O85=1,O103=1),X85,IF(AND(O86=1,O101=1),V86,IF(AND(O86=1,O102=1),W86,IF(AND(O86=1,O103=1),X86,IF(AND(O87=1,O101=1),V87,IF(AND(O87=1,O102=1),W87,IF(AND(O87=1,O103=1),X87,IF(AND(O88=1,O101=1),V88,IF(AND(O88=1,O102=1),W88,IF(AND(O88=1,O103=1),X88,IF(AND(O89=1,O101=1),V89,IF(AND(O89=1,O102=1),W89,IF(AND(O89=1,O103=1),X89,IF(AND(O90=1,O101=1),V90,IF(AND(O90=1,O102=1),W90,IF(AND(O90=1,O103=1),X90,IF(AND(O91=1,O101=1),V91,IF(AND(O91=1,O102=1),W91,IF(AND(O91=1,O103=1),X91,IF(AND(O92=1,O101=1),V92,IF(AND(O92=1,O102=1),W92,IF(AND(O92=1,O103=1),X92,IF(AND(O93=1,O101=1),V93,IF(AND(O93=1,O102=1),W93,IF(AND(O93=1,O103=1),X93,"Errore")))))))))))))))))))))))))))))))</f>
        <v>- -</v>
      </c>
      <c r="J99" s="59" t="s">
        <v>18</v>
      </c>
      <c r="K99" s="30" t="str">
        <f>IF(G95=0,"- -",G95*E99)</f>
        <v>- -</v>
      </c>
      <c r="L99" s="21" t="s">
        <v>0</v>
      </c>
      <c r="M99" s="10"/>
      <c r="N99" s="60" t="e">
        <f>E99/I99-1</f>
        <v>#VALUE!</v>
      </c>
      <c r="P99" s="28"/>
      <c r="Q99" s="24"/>
      <c r="S99" s="54" t="s">
        <v>13</v>
      </c>
      <c r="T99" s="54" t="s">
        <v>14</v>
      </c>
      <c r="U99" s="54"/>
    </row>
    <row r="100" spans="1:24" x14ac:dyDescent="0.3">
      <c r="A100" s="7"/>
      <c r="M100" s="10"/>
      <c r="P100" s="54" t="s">
        <v>11</v>
      </c>
      <c r="Q100" s="54" t="s">
        <v>10</v>
      </c>
      <c r="R100" s="54" t="s">
        <v>9</v>
      </c>
      <c r="S100" s="54" t="s">
        <v>12</v>
      </c>
      <c r="T100" s="54" t="s">
        <v>12</v>
      </c>
      <c r="U100" s="54"/>
      <c r="V100" s="54" t="s">
        <v>7</v>
      </c>
      <c r="W100" s="54" t="s">
        <v>8</v>
      </c>
      <c r="X100" s="54"/>
    </row>
    <row r="101" spans="1:24" x14ac:dyDescent="0.3">
      <c r="A101" s="7"/>
      <c r="B101" t="s">
        <v>51</v>
      </c>
      <c r="G101" s="68" t="s">
        <v>6</v>
      </c>
      <c r="H101" s="68"/>
      <c r="I101" s="68"/>
      <c r="J101" s="68"/>
      <c r="M101" s="10"/>
      <c r="N101" s="2" t="s">
        <v>6</v>
      </c>
      <c r="O101" s="2">
        <f>IF(N101=G101,1,0)</f>
        <v>1</v>
      </c>
      <c r="P101" s="9">
        <f>IF(O101=1,1,"")</f>
        <v>1</v>
      </c>
      <c r="Q101" s="9">
        <f>IF(O101=1,IF(G97&gt;=R101,2,1),"")</f>
        <v>1</v>
      </c>
      <c r="R101" s="53">
        <v>1400</v>
      </c>
      <c r="S101" s="53">
        <v>-2.2857099999999998E-3</v>
      </c>
      <c r="T101" s="53">
        <v>10.8</v>
      </c>
      <c r="V101" s="53">
        <v>7.6</v>
      </c>
      <c r="W101" s="9">
        <f>G97*S101+T101</f>
        <v>8.5142900000000008</v>
      </c>
    </row>
    <row r="102" spans="1:24" s="2" customFormat="1" hidden="1" x14ac:dyDescent="0.3">
      <c r="A102" s="34"/>
      <c r="F102" s="9"/>
      <c r="G102" s="9"/>
      <c r="I102" s="9"/>
      <c r="J102" s="9"/>
      <c r="M102" s="35"/>
      <c r="N102" s="2" t="s">
        <v>4</v>
      </c>
      <c r="O102" s="2">
        <f>IF(N102=G101,1,0)</f>
        <v>0</v>
      </c>
      <c r="P102" s="9" t="str">
        <f>IF(O102=1,2,"")</f>
        <v/>
      </c>
      <c r="Q102" s="9" t="str">
        <f>IF(O102=1,IF(G97&gt;=R102,2,1),"")</f>
        <v/>
      </c>
      <c r="R102" s="53">
        <v>800</v>
      </c>
      <c r="S102" s="53">
        <v>-2.23077E-3</v>
      </c>
      <c r="T102" s="53">
        <v>8.9350000000000005</v>
      </c>
      <c r="U102" s="9"/>
      <c r="V102" s="53">
        <v>7.15</v>
      </c>
      <c r="W102" s="9">
        <f>G97*S102+T102</f>
        <v>6.7042300000000008</v>
      </c>
      <c r="X102" s="9"/>
    </row>
    <row r="103" spans="1:24" s="2" customFormat="1" hidden="1" x14ac:dyDescent="0.3">
      <c r="A103" s="34"/>
      <c r="F103" s="9"/>
      <c r="G103" s="9"/>
      <c r="I103" s="9"/>
      <c r="J103" s="9"/>
      <c r="M103" s="35"/>
      <c r="N103" s="2" t="s">
        <v>3</v>
      </c>
      <c r="O103" s="2">
        <f>IF(N103=G101,1,0)</f>
        <v>0</v>
      </c>
      <c r="P103" s="9" t="str">
        <f>IF(O103=1,3,"")</f>
        <v/>
      </c>
      <c r="Q103" s="9" t="str">
        <f>IF(O103=1,IF(G97&gt;=R103,2,1),"")</f>
        <v/>
      </c>
      <c r="R103" s="53">
        <v>800</v>
      </c>
      <c r="S103" s="53">
        <v>-2.1538400000000002E-3</v>
      </c>
      <c r="T103" s="53">
        <v>8</v>
      </c>
      <c r="U103" s="9"/>
      <c r="V103" s="53">
        <v>6.3</v>
      </c>
      <c r="W103" s="9">
        <f>G97*S103+T103</f>
        <v>5.8461599999999994</v>
      </c>
      <c r="X103" s="9"/>
    </row>
    <row r="104" spans="1:24" s="2" customFormat="1" ht="18" hidden="1" x14ac:dyDescent="0.35">
      <c r="A104" s="34"/>
      <c r="F104" s="36"/>
      <c r="G104" s="36"/>
      <c r="H104" s="36"/>
      <c r="I104" s="36"/>
      <c r="J104" s="36"/>
      <c r="M104" s="35"/>
      <c r="N104" s="48"/>
      <c r="O104" s="2">
        <f>SUM(O101:O103)</f>
        <v>1</v>
      </c>
      <c r="P104" s="9">
        <f>SUM(P101:P103)</f>
        <v>1</v>
      </c>
      <c r="Q104" s="9">
        <f>SUM(Q101:Q103)</f>
        <v>1</v>
      </c>
      <c r="R104" s="9"/>
      <c r="S104" s="9"/>
      <c r="T104" s="9"/>
      <c r="U104" s="9"/>
      <c r="V104" s="9"/>
      <c r="W104" s="9"/>
      <c r="X104" s="9"/>
    </row>
    <row r="105" spans="1:24" ht="8.25" customHeight="1" x14ac:dyDescent="0.3">
      <c r="A105" s="7"/>
      <c r="M105" s="10"/>
    </row>
    <row r="106" spans="1:24" x14ac:dyDescent="0.3">
      <c r="A106" s="7"/>
      <c r="H106" s="14" t="s">
        <v>52</v>
      </c>
      <c r="I106" s="26" t="str">
        <f>IF(G95=0,"- -",IF(O104=1,IF(AND(P104=1,Q104=1),V101,IF(AND(P104=1,Q104=2),W101,IF(AND(P104=2,Q104=1),V102,IF(AND(P104=2,Q104=2),W102,IF(AND(P104=3,Q104=1),V103,IF(AND(P104=3,Q104=2),W103,"Errore")))))),"- -"))</f>
        <v>- -</v>
      </c>
      <c r="J106" t="s">
        <v>5</v>
      </c>
      <c r="M106" s="10"/>
    </row>
    <row r="107" spans="1:24" x14ac:dyDescent="0.3">
      <c r="A107" s="7"/>
      <c r="H107" s="14" t="s">
        <v>53</v>
      </c>
      <c r="I107" s="26" t="str">
        <f>IF(G95=0,"- -",IF(O104=1,IF(S107&lt;0.2,0.2,S107),"- -"))</f>
        <v>- -</v>
      </c>
      <c r="J107" t="s">
        <v>5</v>
      </c>
      <c r="M107" s="10"/>
      <c r="P107" s="9" t="s">
        <v>15</v>
      </c>
      <c r="Q107" s="24">
        <f>IF(O84=1,Q84,IF(O85=1,Q85,IF(O86=1,Q86,IF(O87=1,Q87,IF(O88=1,Q88,IF(O89=1,Q89,IF(O90=1,Q90,IF(O91=1,Q91,IF(O91=1,Q91,IF(O92=1,Q92,IF(O93=1,Q93,"Errore!")))))))))))</f>
        <v>6</v>
      </c>
      <c r="R107" s="28" t="s">
        <v>16</v>
      </c>
      <c r="S107" s="9">
        <f>(G97/1000/Q107)^2*10.198</f>
        <v>0.28327777777777779</v>
      </c>
    </row>
    <row r="108" spans="1:24" ht="15.6" x14ac:dyDescent="0.3">
      <c r="A108" s="7"/>
      <c r="H108" s="15" t="s">
        <v>54</v>
      </c>
      <c r="I108" s="23" t="str">
        <f>IF(G95=0,"- -",IF(O104=1,I106-I107,"- -"))</f>
        <v>- -</v>
      </c>
      <c r="J108" s="16" t="s">
        <v>5</v>
      </c>
      <c r="K108" s="46"/>
      <c r="M108" s="10"/>
      <c r="N108" s="32"/>
    </row>
    <row r="109" spans="1:24" ht="9" customHeight="1" x14ac:dyDescent="0.3">
      <c r="A109" s="7"/>
      <c r="H109" s="15"/>
      <c r="I109" s="23"/>
      <c r="J109" s="16"/>
      <c r="M109" s="10"/>
      <c r="N109" s="32"/>
    </row>
    <row r="110" spans="1:24" ht="15.6" x14ac:dyDescent="0.3">
      <c r="A110" s="7"/>
      <c r="B110" s="13" t="str">
        <f>IF(G96&lt;=12,"Calcul installation plancher chauffant:","Calcul installation plancher chauffant non disponible avec Δt &gt; 12 K")</f>
        <v>Calcul installation plancher chauffant non disponible avec Δt &gt; 12 K</v>
      </c>
      <c r="H110" s="15"/>
      <c r="I110" s="23"/>
      <c r="J110" s="16"/>
      <c r="M110" s="10"/>
      <c r="N110" s="32"/>
      <c r="S110" s="54" t="s">
        <v>19</v>
      </c>
    </row>
    <row r="111" spans="1:24" ht="9" customHeight="1" x14ac:dyDescent="0.3">
      <c r="A111" s="7"/>
      <c r="H111" s="15"/>
      <c r="I111" s="23"/>
      <c r="J111" s="16"/>
      <c r="M111" s="10"/>
      <c r="N111" s="32"/>
    </row>
    <row r="112" spans="1:24" x14ac:dyDescent="0.3">
      <c r="A112" s="7"/>
      <c r="B112" t="s">
        <v>56</v>
      </c>
      <c r="F112" s="14"/>
      <c r="G112" s="62" t="s">
        <v>24</v>
      </c>
      <c r="I112" s="38" t="str">
        <f>IF(G96&gt;12,"","Utiliser Δt =")</f>
        <v/>
      </c>
      <c r="J112" s="16" t="str">
        <f>IF(G96&gt;12,"",IF(G112=N112,P112,IF(G112=N113,P113,IF(G112=N114,P114,""))))</f>
        <v/>
      </c>
      <c r="M112" s="10"/>
      <c r="N112" s="24" t="s">
        <v>23</v>
      </c>
      <c r="O112" s="2">
        <f>IF(N112=G112,1,0)</f>
        <v>0</v>
      </c>
      <c r="P112" s="9" t="s">
        <v>20</v>
      </c>
      <c r="Q112" s="31">
        <f>T112*S112</f>
        <v>34.375</v>
      </c>
      <c r="R112" s="24" t="s">
        <v>17</v>
      </c>
      <c r="S112" s="53">
        <v>1.375</v>
      </c>
      <c r="T112" s="42">
        <v>25</v>
      </c>
      <c r="U112" s="27"/>
      <c r="V112" s="24" t="s">
        <v>17</v>
      </c>
    </row>
    <row r="113" spans="1:24" s="2" customFormat="1" ht="15.6" hidden="1" x14ac:dyDescent="0.3">
      <c r="A113" s="34"/>
      <c r="F113" s="27"/>
      <c r="G113" s="39"/>
      <c r="H113" s="40"/>
      <c r="I113" s="39"/>
      <c r="J113" s="32"/>
      <c r="M113" s="35"/>
      <c r="N113" s="24" t="s">
        <v>24</v>
      </c>
      <c r="O113" s="2">
        <f>IF(N113=G112,1,0)</f>
        <v>1</v>
      </c>
      <c r="P113" s="9" t="s">
        <v>21</v>
      </c>
      <c r="Q113" s="31">
        <f>T113*S113</f>
        <v>110</v>
      </c>
      <c r="R113" s="24" t="s">
        <v>17</v>
      </c>
      <c r="S113" s="53">
        <v>1.375</v>
      </c>
      <c r="T113" s="43">
        <v>80</v>
      </c>
      <c r="U113" s="31"/>
      <c r="V113" s="24" t="s">
        <v>17</v>
      </c>
      <c r="W113" s="9"/>
      <c r="X113" s="9"/>
    </row>
    <row r="114" spans="1:24" s="2" customFormat="1" ht="15.6" hidden="1" x14ac:dyDescent="0.3">
      <c r="A114" s="34"/>
      <c r="F114" s="27"/>
      <c r="G114" s="39"/>
      <c r="H114" s="40"/>
      <c r="I114" s="39"/>
      <c r="J114" s="32"/>
      <c r="M114" s="35"/>
      <c r="N114" s="24" t="s">
        <v>25</v>
      </c>
      <c r="O114" s="2">
        <f>IF(N114=G112,1,0)</f>
        <v>0</v>
      </c>
      <c r="P114" s="9" t="s">
        <v>22</v>
      </c>
      <c r="Q114" s="31">
        <f>T114*S114</f>
        <v>192.5</v>
      </c>
      <c r="R114" s="24" t="s">
        <v>17</v>
      </c>
      <c r="S114" s="53">
        <v>1.375</v>
      </c>
      <c r="T114" s="42">
        <v>140</v>
      </c>
      <c r="U114" s="27"/>
      <c r="V114" s="24" t="s">
        <v>17</v>
      </c>
      <c r="W114" s="9"/>
      <c r="X114" s="9"/>
    </row>
    <row r="115" spans="1:24" s="2" customFormat="1" ht="18" hidden="1" x14ac:dyDescent="0.35">
      <c r="A115" s="34"/>
      <c r="F115" s="36"/>
      <c r="G115" s="36"/>
      <c r="H115" s="36"/>
      <c r="I115" s="36"/>
      <c r="J115" s="36"/>
      <c r="M115" s="35"/>
      <c r="N115" s="48"/>
      <c r="O115" s="2">
        <f>SUM(O112:O114)</f>
        <v>1</v>
      </c>
      <c r="P115" s="9">
        <f>SUM(P112:P114)</f>
        <v>0</v>
      </c>
      <c r="Q115" s="27"/>
      <c r="R115" s="9"/>
      <c r="S115" s="9"/>
      <c r="T115" s="9"/>
      <c r="U115" s="9"/>
      <c r="V115" s="9"/>
      <c r="W115" s="9"/>
      <c r="X115" s="9"/>
    </row>
    <row r="116" spans="1:24" ht="9" customHeight="1" x14ac:dyDescent="0.3">
      <c r="A116" s="7"/>
      <c r="H116" s="15"/>
      <c r="I116" s="23"/>
      <c r="J116" s="16"/>
      <c r="M116" s="10"/>
      <c r="N116" s="32"/>
    </row>
    <row r="117" spans="1:24" ht="44.25" customHeight="1" x14ac:dyDescent="0.3">
      <c r="A117" s="7"/>
      <c r="B117" s="65" t="str">
        <f>IF(G96&gt;12,"","Surface maxima du plancher chauffant gérable par chaque Module, avec un saut thermique proportionné à la classe d’isolation thermique sélectionnée:")</f>
        <v/>
      </c>
      <c r="C117" s="65"/>
      <c r="D117" s="65"/>
      <c r="E117" s="65"/>
      <c r="F117" s="65"/>
      <c r="G117" s="65"/>
      <c r="H117" s="65"/>
      <c r="I117" s="52" t="str">
        <f>IF(G96&gt;12,"",IF(G95=0,"- -",IF(G96&lt;=12,IF(O112=1,E99*1000/Q112,IF(O113=1,E99*1000/Q113,IF(O114=1,E99*1000/Q114,"- -"))),"- - ")))</f>
        <v/>
      </c>
      <c r="J117" s="29" t="str">
        <f>IF(G96&gt;12,"","m2")</f>
        <v/>
      </c>
      <c r="M117" s="10"/>
      <c r="N117" s="50"/>
      <c r="Q117" s="27"/>
    </row>
    <row r="118" spans="1:24" ht="10.5" customHeight="1" x14ac:dyDescent="0.3">
      <c r="A118" s="17"/>
      <c r="B118" s="18"/>
      <c r="C118" s="18"/>
      <c r="D118" s="18"/>
      <c r="E118" s="18"/>
      <c r="F118" s="19"/>
      <c r="G118" s="18"/>
      <c r="H118" s="18"/>
      <c r="I118" s="19"/>
      <c r="J118" s="19"/>
      <c r="K118" s="18"/>
      <c r="L118" s="18"/>
      <c r="M118" s="20"/>
    </row>
    <row r="119" spans="1:24" ht="11.25" customHeight="1" x14ac:dyDescent="0.3"/>
    <row r="120" spans="1:24" ht="10.5" customHeight="1" x14ac:dyDescent="0.3">
      <c r="A120" s="3"/>
      <c r="B120" s="4"/>
      <c r="C120" s="4"/>
      <c r="D120" s="4"/>
      <c r="E120" s="4"/>
      <c r="F120" s="5"/>
      <c r="G120" s="4"/>
      <c r="H120" s="4"/>
      <c r="I120" s="5"/>
      <c r="J120" s="5"/>
      <c r="K120" s="4"/>
      <c r="L120" s="4"/>
      <c r="M120" s="6"/>
    </row>
    <row r="121" spans="1:24" ht="18.75" customHeight="1" x14ac:dyDescent="0.3">
      <c r="A121" s="7"/>
      <c r="B121" s="63" t="s">
        <v>61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"/>
      <c r="N121" s="32"/>
    </row>
    <row r="122" spans="1:24" ht="30" customHeight="1" x14ac:dyDescent="0.3">
      <c r="A122" s="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10"/>
      <c r="N122" s="32"/>
    </row>
    <row r="123" spans="1:24" ht="30" customHeight="1" x14ac:dyDescent="0.3">
      <c r="A123" s="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10"/>
      <c r="N123" s="32"/>
    </row>
    <row r="124" spans="1:24" ht="30" customHeight="1" x14ac:dyDescent="0.3">
      <c r="A124" s="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10"/>
      <c r="N124" s="32"/>
    </row>
    <row r="125" spans="1:24" ht="10.5" customHeight="1" x14ac:dyDescent="0.3">
      <c r="A125" s="17"/>
      <c r="B125" s="18"/>
      <c r="C125" s="18"/>
      <c r="D125" s="18"/>
      <c r="E125" s="18"/>
      <c r="F125" s="19"/>
      <c r="G125" s="18"/>
      <c r="H125" s="18"/>
      <c r="I125" s="19"/>
      <c r="J125" s="19"/>
      <c r="K125" s="18"/>
      <c r="L125" s="18"/>
      <c r="M125" s="20"/>
    </row>
  </sheetData>
  <sheetProtection algorithmName="SHA-512" hashValue="WipS9+h+LDN3RT7VDNDyrqF3dqPv+4zG/pxB8YXW454DneFeSVV/Xww85RNgtyCrvD8jvFW9pSq+UkRAwSvxXQ==" saltValue="RhG0Svtg6okWpiRhAEX6gA==" spinCount="100000" sheet="1" objects="1" scenarios="1" selectLockedCells="1"/>
  <dataConsolidate/>
  <mergeCells count="29">
    <mergeCell ref="B1:L1"/>
    <mergeCell ref="C121:L121"/>
    <mergeCell ref="B122:L122"/>
    <mergeCell ref="B123:L123"/>
    <mergeCell ref="B124:L124"/>
    <mergeCell ref="G10:J10"/>
    <mergeCell ref="G27:J27"/>
    <mergeCell ref="B117:H117"/>
    <mergeCell ref="G84:J84"/>
    <mergeCell ref="G101:J101"/>
    <mergeCell ref="H58:L58"/>
    <mergeCell ref="H21:L21"/>
    <mergeCell ref="H95:L95"/>
    <mergeCell ref="G47:J47"/>
    <mergeCell ref="G64:J64"/>
    <mergeCell ref="B80:H80"/>
    <mergeCell ref="B2:L2"/>
    <mergeCell ref="B43:H43"/>
    <mergeCell ref="V5:X5"/>
    <mergeCell ref="V6:X6"/>
    <mergeCell ref="W7:W8"/>
    <mergeCell ref="X7:X8"/>
    <mergeCell ref="V7:V8"/>
    <mergeCell ref="T7:T8"/>
    <mergeCell ref="R7:R8"/>
    <mergeCell ref="S7:S8"/>
    <mergeCell ref="S5:U5"/>
    <mergeCell ref="S6:U6"/>
    <mergeCell ref="U7:U8"/>
  </mergeCells>
  <conditionalFormatting sqref="I34">
    <cfRule type="cellIs" dxfId="19" priority="20" operator="lessThan">
      <formula>0.5</formula>
    </cfRule>
  </conditionalFormatting>
  <conditionalFormatting sqref="K5">
    <cfRule type="cellIs" dxfId="18" priority="19" operator="greaterThan">
      <formula>50</formula>
    </cfRule>
  </conditionalFormatting>
  <conditionalFormatting sqref="I71">
    <cfRule type="cellIs" dxfId="17" priority="13" operator="lessThan">
      <formula>0.5</formula>
    </cfRule>
  </conditionalFormatting>
  <conditionalFormatting sqref="I108">
    <cfRule type="cellIs" dxfId="16" priority="11" operator="lessThan">
      <formula>0.5</formula>
    </cfRule>
  </conditionalFormatting>
  <conditionalFormatting sqref="E25:F25">
    <cfRule type="expression" dxfId="15" priority="5" stopIfTrue="1">
      <formula>$N$25&gt;=0.1</formula>
    </cfRule>
    <cfRule type="expression" dxfId="14" priority="6">
      <formula>$N$25&gt;0</formula>
    </cfRule>
  </conditionalFormatting>
  <conditionalFormatting sqref="E62:F62">
    <cfRule type="expression" dxfId="13" priority="3" stopIfTrue="1">
      <formula>$N$62&gt;=0.1</formula>
    </cfRule>
    <cfRule type="expression" dxfId="12" priority="4">
      <formula>$N$62&gt;0</formula>
    </cfRule>
  </conditionalFormatting>
  <conditionalFormatting sqref="E99:F99">
    <cfRule type="expression" dxfId="11" priority="1" stopIfTrue="1">
      <formula>$N$99&gt;=0.1</formula>
    </cfRule>
    <cfRule type="expression" dxfId="10" priority="2">
      <formula>$N$99&gt;0</formula>
    </cfRule>
  </conditionalFormatting>
  <dataValidations count="4">
    <dataValidation type="list" allowBlank="1" showInputMessage="1" showErrorMessage="1" sqref="G38 G112 G75" xr:uid="{00000000-0002-0000-0200-000000000000}">
      <formula1>$N$38:$N$40</formula1>
    </dataValidation>
    <dataValidation type="list" allowBlank="1" showInputMessage="1" showErrorMessage="1" promptTitle="Scegliere un circolatore" sqref="G27:J27 G101:J101 G64:J64" xr:uid="{00000000-0002-0000-0200-000001000000}">
      <formula1>$N$27:$N$29</formula1>
    </dataValidation>
    <dataValidation type="list" allowBlank="1" showErrorMessage="1" sqref="G10:J10 G47:J47 G84:J84" xr:uid="{00000000-0002-0000-0200-000002000000}">
      <formula1>N10:N19</formula1>
    </dataValidation>
    <dataValidation type="list" allowBlank="1" showInputMessage="1" showErrorMessage="1" sqref="G21 G95 G58" xr:uid="{00000000-0002-0000-0200-000003000000}">
      <formula1>$O$21:$O$24</formula1>
    </dataValidation>
  </dataValidations>
  <pageMargins left="0.35" right="0.25" top="0.55000000000000004" bottom="0.56999999999999995" header="0.3" footer="0.3"/>
  <pageSetup paperSize="9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25"/>
  <sheetViews>
    <sheetView workbookViewId="0">
      <selection activeCell="G10" sqref="G10:J10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bestFit="1" customWidth="1"/>
    <col min="12" max="12" width="3.88671875" bestFit="1" customWidth="1"/>
    <col min="13" max="13" width="1.44140625" customWidth="1"/>
    <col min="14" max="14" width="34.5546875" style="2" hidden="1" customWidth="1"/>
    <col min="15" max="15" width="4" style="2" hidden="1" customWidth="1"/>
    <col min="16" max="16" width="11.33203125" style="9" hidden="1" customWidth="1"/>
    <col min="17" max="17" width="12.44140625" style="9" hidden="1" customWidth="1"/>
    <col min="18" max="21" width="11.33203125" style="9" hidden="1" customWidth="1"/>
    <col min="22" max="24" width="14.109375" style="9" hidden="1" customWidth="1"/>
  </cols>
  <sheetData>
    <row r="1" spans="1:24" ht="75.75" customHeight="1" x14ac:dyDescent="0.35">
      <c r="A1" s="3"/>
      <c r="B1" s="74" t="s">
        <v>98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6"/>
    </row>
    <row r="2" spans="1:24" ht="321.75" customHeight="1" x14ac:dyDescent="0.3">
      <c r="A2" s="1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20"/>
    </row>
    <row r="3" spans="1:24" ht="11.25" customHeight="1" x14ac:dyDescent="0.3"/>
    <row r="4" spans="1:24" ht="10.5" customHeight="1" x14ac:dyDescent="0.3">
      <c r="A4" s="3"/>
      <c r="B4" s="4"/>
      <c r="C4" s="4"/>
      <c r="D4" s="4"/>
      <c r="E4" s="4"/>
      <c r="F4" s="5"/>
      <c r="G4" s="4"/>
      <c r="H4" s="4"/>
      <c r="I4" s="5"/>
      <c r="J4" s="5"/>
      <c r="K4" s="4"/>
      <c r="L4" s="4"/>
      <c r="M4" s="6"/>
    </row>
    <row r="5" spans="1:24" x14ac:dyDescent="0.3">
      <c r="A5" s="7"/>
      <c r="B5" s="21" t="s">
        <v>99</v>
      </c>
      <c r="K5" s="30">
        <f>SUM(K8:K450)</f>
        <v>0</v>
      </c>
      <c r="L5" s="21" t="s">
        <v>0</v>
      </c>
      <c r="M5" s="10"/>
      <c r="R5" s="55" t="s">
        <v>43</v>
      </c>
      <c r="S5" s="72" t="s">
        <v>39</v>
      </c>
      <c r="T5" s="72"/>
      <c r="U5" s="72"/>
      <c r="V5" s="75" t="s">
        <v>41</v>
      </c>
      <c r="W5" s="75"/>
      <c r="X5" s="75"/>
    </row>
    <row r="6" spans="1:24" x14ac:dyDescent="0.3">
      <c r="A6" s="7"/>
      <c r="B6" t="s">
        <v>100</v>
      </c>
      <c r="M6" s="10"/>
      <c r="R6" s="55" t="s">
        <v>45</v>
      </c>
      <c r="S6" s="72" t="s">
        <v>40</v>
      </c>
      <c r="T6" s="72"/>
      <c r="U6" s="72"/>
      <c r="V6" s="75" t="s">
        <v>42</v>
      </c>
      <c r="W6" s="75"/>
      <c r="X6" s="75"/>
    </row>
    <row r="7" spans="1:24" ht="10.5" customHeight="1" x14ac:dyDescent="0.3">
      <c r="A7" s="17"/>
      <c r="B7" s="18"/>
      <c r="C7" s="18"/>
      <c r="D7" s="18"/>
      <c r="E7" s="18"/>
      <c r="F7" s="19"/>
      <c r="G7" s="18"/>
      <c r="H7" s="18"/>
      <c r="I7" s="19"/>
      <c r="J7" s="19"/>
      <c r="K7" s="18"/>
      <c r="L7" s="18"/>
      <c r="M7" s="20"/>
      <c r="R7" s="72" t="s">
        <v>44</v>
      </c>
      <c r="S7" s="73" t="s">
        <v>36</v>
      </c>
      <c r="T7" s="73" t="s">
        <v>37</v>
      </c>
      <c r="U7" s="73" t="s">
        <v>38</v>
      </c>
      <c r="V7" s="69" t="s">
        <v>36</v>
      </c>
      <c r="W7" s="69" t="s">
        <v>37</v>
      </c>
      <c r="X7" s="69" t="s">
        <v>38</v>
      </c>
    </row>
    <row r="8" spans="1:24" ht="11.25" customHeight="1" x14ac:dyDescent="0.3">
      <c r="R8" s="72"/>
      <c r="S8" s="73"/>
      <c r="T8" s="73"/>
      <c r="U8" s="73"/>
      <c r="V8" s="69"/>
      <c r="W8" s="69"/>
      <c r="X8" s="69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4"/>
      <c r="L9" s="4"/>
      <c r="M9" s="6"/>
      <c r="Q9" s="53"/>
      <c r="R9" s="44"/>
      <c r="S9" s="44"/>
      <c r="T9" s="44"/>
      <c r="U9" s="44"/>
    </row>
    <row r="10" spans="1:24" ht="15.6" x14ac:dyDescent="0.3">
      <c r="A10" s="7"/>
      <c r="B10" s="8" t="s">
        <v>101</v>
      </c>
      <c r="G10" s="70" t="s">
        <v>33</v>
      </c>
      <c r="H10" s="70"/>
      <c r="I10" s="70"/>
      <c r="J10" s="70"/>
      <c r="M10" s="10"/>
      <c r="N10" s="47" t="s">
        <v>33</v>
      </c>
      <c r="O10" s="2">
        <f>IF(G10=N10,1,0)</f>
        <v>1</v>
      </c>
      <c r="P10" s="9" t="s">
        <v>15</v>
      </c>
      <c r="Q10" s="41">
        <v>6</v>
      </c>
      <c r="R10" s="44">
        <v>4.0999999999999996</v>
      </c>
      <c r="S10" s="44">
        <v>2284</v>
      </c>
      <c r="T10" s="44">
        <v>1770</v>
      </c>
      <c r="U10" s="44">
        <v>1511</v>
      </c>
      <c r="V10" s="45">
        <f>S10*$G22/860</f>
        <v>53.116279069767444</v>
      </c>
      <c r="W10" s="45">
        <f>T10*$G22/860</f>
        <v>41.162790697674417</v>
      </c>
      <c r="X10" s="45">
        <f>U10*$G22/860</f>
        <v>35.139534883720927</v>
      </c>
    </row>
    <row r="11" spans="1:24" s="2" customFormat="1" ht="15.6" hidden="1" x14ac:dyDescent="0.3">
      <c r="A11" s="34"/>
      <c r="B11" s="37"/>
      <c r="F11" s="9"/>
      <c r="G11" s="9"/>
      <c r="I11" s="9"/>
      <c r="J11" s="9"/>
      <c r="M11" s="35"/>
      <c r="N11" s="47" t="s">
        <v>34</v>
      </c>
      <c r="O11" s="2">
        <f>IF(G10=N11,1,0)</f>
        <v>0</v>
      </c>
      <c r="P11" s="9" t="s">
        <v>15</v>
      </c>
      <c r="Q11" s="41">
        <v>2.7</v>
      </c>
      <c r="R11" s="44">
        <v>5</v>
      </c>
      <c r="S11" s="44">
        <v>1363</v>
      </c>
      <c r="T11" s="44">
        <v>1060</v>
      </c>
      <c r="U11" s="44">
        <v>885</v>
      </c>
      <c r="V11" s="45">
        <f>S11*$G22/860</f>
        <v>31.697674418604652</v>
      </c>
      <c r="W11" s="45">
        <f>T11*$G22/860</f>
        <v>24.651162790697676</v>
      </c>
      <c r="X11" s="45">
        <f>U11*$G22/860</f>
        <v>20.581395348837209</v>
      </c>
    </row>
    <row r="12" spans="1:24" s="2" customFormat="1" ht="15.6" hidden="1" x14ac:dyDescent="0.3">
      <c r="A12" s="34"/>
      <c r="B12" s="37"/>
      <c r="F12" s="9"/>
      <c r="G12" s="9"/>
      <c r="I12" s="9"/>
      <c r="J12" s="9"/>
      <c r="M12" s="35"/>
      <c r="N12" s="47" t="s">
        <v>35</v>
      </c>
      <c r="O12" s="2">
        <f>IF(G10=N12,1,0)</f>
        <v>0</v>
      </c>
      <c r="P12" s="9" t="s">
        <v>15</v>
      </c>
      <c r="Q12" s="41">
        <v>3.8</v>
      </c>
      <c r="R12" s="44">
        <v>5</v>
      </c>
      <c r="S12" s="44">
        <v>1673</v>
      </c>
      <c r="T12" s="44">
        <v>1261</v>
      </c>
      <c r="U12" s="44">
        <v>1039</v>
      </c>
      <c r="V12" s="45">
        <f>S12*$G22/860</f>
        <v>38.906976744186046</v>
      </c>
      <c r="W12" s="45">
        <f>T12*$G22/860</f>
        <v>29.325581395348838</v>
      </c>
      <c r="X12" s="45">
        <f>U12*$G22/860</f>
        <v>24.162790697674417</v>
      </c>
    </row>
    <row r="13" spans="1:24" s="2" customFormat="1" ht="15.6" hidden="1" x14ac:dyDescent="0.3">
      <c r="A13" s="34"/>
      <c r="B13" s="37"/>
      <c r="F13" s="9"/>
      <c r="G13" s="9"/>
      <c r="I13" s="9"/>
      <c r="J13" s="9"/>
      <c r="M13" s="35"/>
      <c r="N13" s="47" t="s">
        <v>26</v>
      </c>
      <c r="O13" s="2">
        <f>IF(G10=N13,1,0)</f>
        <v>0</v>
      </c>
      <c r="P13" s="9" t="s">
        <v>15</v>
      </c>
      <c r="Q13" s="41">
        <v>4</v>
      </c>
      <c r="R13" s="44">
        <v>4.5</v>
      </c>
      <c r="S13" s="44">
        <v>1826</v>
      </c>
      <c r="T13" s="44">
        <v>1416</v>
      </c>
      <c r="U13" s="44">
        <v>1199</v>
      </c>
      <c r="V13" s="45">
        <f>S13*$G22/860</f>
        <v>42.465116279069768</v>
      </c>
      <c r="W13" s="45">
        <f>T13*$G22/860</f>
        <v>32.930232558139537</v>
      </c>
      <c r="X13" s="45">
        <f>U13*$G22/860</f>
        <v>27.88372093023256</v>
      </c>
    </row>
    <row r="14" spans="1:24" s="2" customFormat="1" ht="15.6" hidden="1" x14ac:dyDescent="0.3">
      <c r="A14" s="34"/>
      <c r="B14" s="37"/>
      <c r="F14" s="9"/>
      <c r="G14" s="9"/>
      <c r="I14" s="9"/>
      <c r="J14" s="9"/>
      <c r="M14" s="35"/>
      <c r="N14" s="47" t="s">
        <v>27</v>
      </c>
      <c r="O14" s="2">
        <f>IF(G10=N14,1,0)</f>
        <v>0</v>
      </c>
      <c r="P14" s="9" t="s">
        <v>15</v>
      </c>
      <c r="Q14" s="41">
        <v>5.5</v>
      </c>
      <c r="R14" s="44">
        <v>4.5</v>
      </c>
      <c r="S14" s="44">
        <v>1950</v>
      </c>
      <c r="T14" s="44">
        <v>1601</v>
      </c>
      <c r="U14" s="44">
        <v>1343</v>
      </c>
      <c r="V14" s="45">
        <f>S14*$G22/860</f>
        <v>45.348837209302324</v>
      </c>
      <c r="W14" s="45">
        <f t="shared" ref="W14:X14" si="0">T14*$G22/860</f>
        <v>37.232558139534881</v>
      </c>
      <c r="X14" s="45">
        <f t="shared" si="0"/>
        <v>31.232558139534884</v>
      </c>
    </row>
    <row r="15" spans="1:24" s="2" customFormat="1" ht="15.6" hidden="1" x14ac:dyDescent="0.3">
      <c r="A15" s="34"/>
      <c r="B15" s="37"/>
      <c r="F15" s="9"/>
      <c r="G15" s="9"/>
      <c r="I15" s="9"/>
      <c r="J15" s="9"/>
      <c r="M15" s="35"/>
      <c r="N15" s="47" t="s">
        <v>28</v>
      </c>
      <c r="O15" s="2">
        <f>IF(G10=N15,1,0)</f>
        <v>0</v>
      </c>
      <c r="P15" s="9" t="s">
        <v>15</v>
      </c>
      <c r="Q15" s="41">
        <v>2</v>
      </c>
      <c r="R15" s="44">
        <v>5</v>
      </c>
      <c r="S15" s="44">
        <v>1010</v>
      </c>
      <c r="T15" s="44">
        <v>880</v>
      </c>
      <c r="U15" s="44">
        <v>714</v>
      </c>
      <c r="V15" s="45">
        <f>S15*$G22/860</f>
        <v>23.488372093023255</v>
      </c>
      <c r="W15" s="45">
        <f t="shared" ref="W15:X15" si="1">T15*$G22/860</f>
        <v>20.465116279069768</v>
      </c>
      <c r="X15" s="45">
        <f t="shared" si="1"/>
        <v>16.604651162790699</v>
      </c>
    </row>
    <row r="16" spans="1:24" s="2" customFormat="1" ht="15.6" hidden="1" x14ac:dyDescent="0.3">
      <c r="A16" s="34"/>
      <c r="B16" s="37"/>
      <c r="F16" s="9"/>
      <c r="G16" s="9"/>
      <c r="I16" s="9"/>
      <c r="J16" s="9"/>
      <c r="M16" s="35"/>
      <c r="N16" s="47" t="s">
        <v>29</v>
      </c>
      <c r="O16" s="2">
        <f>IF(G10=N16,1,0)</f>
        <v>0</v>
      </c>
      <c r="P16" s="9" t="s">
        <v>15</v>
      </c>
      <c r="Q16" s="41">
        <v>2.4</v>
      </c>
      <c r="R16" s="44">
        <v>5</v>
      </c>
      <c r="S16" s="44">
        <v>1212</v>
      </c>
      <c r="T16" s="44">
        <v>989</v>
      </c>
      <c r="U16" s="44">
        <v>829</v>
      </c>
      <c r="V16" s="45">
        <f>S16*$G22/860</f>
        <v>28.186046511627907</v>
      </c>
      <c r="W16" s="45">
        <f t="shared" ref="W16:X16" si="2">T16*$G22/860</f>
        <v>23</v>
      </c>
      <c r="X16" s="45">
        <f t="shared" si="2"/>
        <v>19.279069767441861</v>
      </c>
    </row>
    <row r="17" spans="1:24" s="2" customFormat="1" ht="15.6" hidden="1" x14ac:dyDescent="0.3">
      <c r="A17" s="34"/>
      <c r="B17" s="37"/>
      <c r="F17" s="9"/>
      <c r="G17" s="9"/>
      <c r="I17" s="9"/>
      <c r="J17" s="9"/>
      <c r="M17" s="35"/>
      <c r="N17" s="47" t="s">
        <v>30</v>
      </c>
      <c r="O17" s="2">
        <f>IF(G10=N17,1,0)</f>
        <v>0</v>
      </c>
      <c r="P17" s="9" t="s">
        <v>15</v>
      </c>
      <c r="Q17" s="41">
        <v>3.1</v>
      </c>
      <c r="R17" s="44">
        <v>5</v>
      </c>
      <c r="S17" s="44">
        <v>1497</v>
      </c>
      <c r="T17" s="44">
        <v>1143</v>
      </c>
      <c r="U17" s="44">
        <v>949</v>
      </c>
      <c r="V17" s="45">
        <f>S17*$G22/860</f>
        <v>34.813953488372093</v>
      </c>
      <c r="W17" s="45">
        <f t="shared" ref="W17:X17" si="3">T17*$G22/860</f>
        <v>26.581395348837209</v>
      </c>
      <c r="X17" s="45">
        <f t="shared" si="3"/>
        <v>22.069767441860463</v>
      </c>
    </row>
    <row r="18" spans="1:24" s="2" customFormat="1" ht="15.6" hidden="1" x14ac:dyDescent="0.3">
      <c r="A18" s="34"/>
      <c r="B18" s="37"/>
      <c r="F18" s="9"/>
      <c r="G18" s="9"/>
      <c r="I18" s="9"/>
      <c r="J18" s="9"/>
      <c r="M18" s="35"/>
      <c r="N18" s="47" t="s">
        <v>31</v>
      </c>
      <c r="O18" s="2">
        <f>IF(G10=N18,1,0)</f>
        <v>0</v>
      </c>
      <c r="P18" s="9" t="s">
        <v>15</v>
      </c>
      <c r="Q18" s="41">
        <v>1.7</v>
      </c>
      <c r="R18" s="44">
        <v>5</v>
      </c>
      <c r="S18" s="44">
        <v>858</v>
      </c>
      <c r="T18" s="44">
        <v>781</v>
      </c>
      <c r="U18" s="44">
        <v>607</v>
      </c>
      <c r="V18" s="45">
        <f>S18*$G22/860</f>
        <v>19.953488372093023</v>
      </c>
      <c r="W18" s="45">
        <f t="shared" ref="W18:X18" si="4">T18*$G22/860</f>
        <v>18.162790697674417</v>
      </c>
      <c r="X18" s="45">
        <f t="shared" si="4"/>
        <v>14.116279069767442</v>
      </c>
    </row>
    <row r="19" spans="1:24" s="2" customFormat="1" ht="15.6" hidden="1" x14ac:dyDescent="0.3">
      <c r="A19" s="34"/>
      <c r="B19" s="37"/>
      <c r="F19" s="9"/>
      <c r="G19" s="9"/>
      <c r="I19" s="9"/>
      <c r="J19" s="9"/>
      <c r="M19" s="35"/>
      <c r="N19" s="47" t="s">
        <v>32</v>
      </c>
      <c r="O19" s="2">
        <f>IF(G10=N19,1,0)</f>
        <v>0</v>
      </c>
      <c r="P19" s="9" t="s">
        <v>15</v>
      </c>
      <c r="Q19" s="41">
        <v>1.9</v>
      </c>
      <c r="R19" s="44">
        <v>5</v>
      </c>
      <c r="S19" s="44">
        <v>1000</v>
      </c>
      <c r="T19" s="44">
        <v>850</v>
      </c>
      <c r="U19" s="44">
        <v>678</v>
      </c>
      <c r="V19" s="45">
        <f>S19*$G22/860</f>
        <v>23.255813953488371</v>
      </c>
      <c r="W19" s="45">
        <f t="shared" ref="W19:X19" si="5">T19*$G22/860</f>
        <v>19.767441860465116</v>
      </c>
      <c r="X19" s="45">
        <f t="shared" si="5"/>
        <v>15.767441860465116</v>
      </c>
    </row>
    <row r="20" spans="1:24" ht="8.25" customHeight="1" x14ac:dyDescent="0.35">
      <c r="A20" s="7"/>
      <c r="F20" s="33"/>
      <c r="G20" s="33"/>
      <c r="H20" s="33"/>
      <c r="I20" s="33"/>
      <c r="J20" s="33"/>
      <c r="M20" s="10"/>
      <c r="N20" s="48"/>
    </row>
    <row r="21" spans="1:24" x14ac:dyDescent="0.3">
      <c r="A21" s="7"/>
      <c r="B21" t="s">
        <v>104</v>
      </c>
      <c r="G21" s="61">
        <v>0</v>
      </c>
      <c r="H21" s="77" t="str">
        <f>IF(G21+G58+G95&gt;3,"Max. Anzahl von Modulen in Gesamt = 3","")</f>
        <v/>
      </c>
      <c r="I21" s="77"/>
      <c r="J21" s="77"/>
      <c r="K21" s="77"/>
      <c r="L21" s="77"/>
      <c r="M21" s="10"/>
      <c r="O21" s="2">
        <v>0</v>
      </c>
    </row>
    <row r="22" spans="1:24" x14ac:dyDescent="0.3">
      <c r="A22" s="7"/>
      <c r="B22" t="s">
        <v>105</v>
      </c>
      <c r="G22" s="61">
        <v>20</v>
      </c>
      <c r="H22" t="s">
        <v>1</v>
      </c>
      <c r="M22" s="10"/>
      <c r="N22" s="49"/>
      <c r="O22" s="2">
        <v>1</v>
      </c>
    </row>
    <row r="23" spans="1:24" ht="15.6" x14ac:dyDescent="0.3">
      <c r="A23" s="7"/>
      <c r="B23" t="s">
        <v>106</v>
      </c>
      <c r="G23" s="61">
        <v>1000</v>
      </c>
      <c r="H23" s="22" t="s">
        <v>2</v>
      </c>
      <c r="I23" s="8"/>
      <c r="J23" s="8"/>
      <c r="K23" s="51"/>
      <c r="L23" s="25"/>
      <c r="M23" s="10"/>
      <c r="N23" s="49"/>
      <c r="O23" s="2">
        <v>2</v>
      </c>
      <c r="P23" s="54"/>
      <c r="Q23" s="11"/>
      <c r="R23" s="11"/>
      <c r="S23" s="11"/>
      <c r="T23" s="11"/>
      <c r="U23" s="11"/>
      <c r="V23" s="11"/>
      <c r="W23" s="11"/>
      <c r="X23" s="11"/>
    </row>
    <row r="24" spans="1:24" x14ac:dyDescent="0.3">
      <c r="A24" s="7"/>
      <c r="L24" s="12" t="s">
        <v>108</v>
      </c>
      <c r="M24" s="10"/>
      <c r="N24" s="49"/>
      <c r="O24" s="2">
        <v>3</v>
      </c>
    </row>
    <row r="25" spans="1:24" ht="15.6" x14ac:dyDescent="0.3">
      <c r="A25" s="7"/>
      <c r="B25" s="13" t="s">
        <v>107</v>
      </c>
      <c r="E25" s="30" t="str">
        <f>IF(G21=0,"- -",G23*G22/860)</f>
        <v>- -</v>
      </c>
      <c r="F25" s="21" t="s">
        <v>0</v>
      </c>
      <c r="H25" s="58" t="s">
        <v>109</v>
      </c>
      <c r="I25" s="56" t="str">
        <f>IF(G21=0,"- -",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)</f>
        <v>- -</v>
      </c>
      <c r="J25" s="59" t="s">
        <v>18</v>
      </c>
      <c r="K25" s="30" t="str">
        <f>IF(G21=0,"- -",G21*E25)</f>
        <v>- -</v>
      </c>
      <c r="L25" s="21" t="s">
        <v>0</v>
      </c>
      <c r="M25" s="10"/>
      <c r="N25" s="57" t="e">
        <f>E25/I25-1</f>
        <v>#VALUE!</v>
      </c>
      <c r="P25" s="28"/>
      <c r="Q25" s="24"/>
      <c r="S25" s="54" t="s">
        <v>13</v>
      </c>
      <c r="T25" s="54" t="s">
        <v>14</v>
      </c>
      <c r="U25" s="54"/>
    </row>
    <row r="26" spans="1:24" x14ac:dyDescent="0.3">
      <c r="A26" s="7"/>
      <c r="M26" s="10"/>
      <c r="P26" s="54" t="s">
        <v>11</v>
      </c>
      <c r="Q26" s="54" t="s">
        <v>10</v>
      </c>
      <c r="R26" s="54" t="s">
        <v>9</v>
      </c>
      <c r="S26" s="54" t="s">
        <v>12</v>
      </c>
      <c r="T26" s="54" t="s">
        <v>12</v>
      </c>
      <c r="U26" s="54"/>
      <c r="V26" s="54" t="s">
        <v>7</v>
      </c>
      <c r="W26" s="54" t="s">
        <v>8</v>
      </c>
      <c r="X26" s="54"/>
    </row>
    <row r="27" spans="1:24" x14ac:dyDescent="0.3">
      <c r="A27" s="7"/>
      <c r="B27" t="s">
        <v>112</v>
      </c>
      <c r="G27" s="68" t="s">
        <v>3</v>
      </c>
      <c r="H27" s="68"/>
      <c r="I27" s="68"/>
      <c r="J27" s="68"/>
      <c r="M27" s="10"/>
      <c r="N27" s="2" t="s">
        <v>6</v>
      </c>
      <c r="O27" s="2">
        <f>IF(N27=G27,1,0)</f>
        <v>0</v>
      </c>
      <c r="P27" s="9" t="str">
        <f>IF(O27=1,1,"")</f>
        <v/>
      </c>
      <c r="Q27" s="9" t="str">
        <f>IF(O27=1,IF(G23&gt;=R27,2,1),"")</f>
        <v/>
      </c>
      <c r="R27" s="53">
        <v>1400</v>
      </c>
      <c r="S27" s="53">
        <v>-2.2857099999999998E-3</v>
      </c>
      <c r="T27" s="53">
        <v>10.8</v>
      </c>
      <c r="V27" s="53">
        <v>7.6</v>
      </c>
      <c r="W27" s="9">
        <f>G23*S27+T27</f>
        <v>8.5142900000000008</v>
      </c>
    </row>
    <row r="28" spans="1:24" s="2" customFormat="1" hidden="1" x14ac:dyDescent="0.3">
      <c r="A28" s="34"/>
      <c r="F28" s="9"/>
      <c r="G28" s="9"/>
      <c r="I28" s="9"/>
      <c r="J28" s="9"/>
      <c r="M28" s="35"/>
      <c r="N28" s="2" t="s">
        <v>4</v>
      </c>
      <c r="O28" s="2">
        <f>IF(N28=G27,1,0)</f>
        <v>0</v>
      </c>
      <c r="P28" s="9" t="str">
        <f>IF(O28=1,2,"")</f>
        <v/>
      </c>
      <c r="Q28" s="9" t="str">
        <f>IF(O28=1,IF(G23&gt;=R28,2,1),"")</f>
        <v/>
      </c>
      <c r="R28" s="53">
        <v>800</v>
      </c>
      <c r="S28" s="53">
        <v>-2.23077E-3</v>
      </c>
      <c r="T28" s="53">
        <v>8.9350000000000005</v>
      </c>
      <c r="U28" s="9"/>
      <c r="V28" s="53">
        <v>7.15</v>
      </c>
      <c r="W28" s="9">
        <f>G23*S28+T28</f>
        <v>6.7042300000000008</v>
      </c>
      <c r="X28" s="9"/>
    </row>
    <row r="29" spans="1:24" s="2" customFormat="1" hidden="1" x14ac:dyDescent="0.3">
      <c r="A29" s="34"/>
      <c r="F29" s="9"/>
      <c r="G29" s="9"/>
      <c r="I29" s="9"/>
      <c r="J29" s="9"/>
      <c r="M29" s="35"/>
      <c r="N29" s="2" t="s">
        <v>3</v>
      </c>
      <c r="O29" s="2">
        <f>IF(N29=G27,1,0)</f>
        <v>1</v>
      </c>
      <c r="P29" s="9">
        <f>IF(O29=1,3,"")</f>
        <v>3</v>
      </c>
      <c r="Q29" s="9">
        <f>IF(O29=1,IF(G23&gt;=R29,2,1),"")</f>
        <v>2</v>
      </c>
      <c r="R29" s="53">
        <v>800</v>
      </c>
      <c r="S29" s="53">
        <v>-2.1538400000000002E-3</v>
      </c>
      <c r="T29" s="53">
        <v>8</v>
      </c>
      <c r="U29" s="9"/>
      <c r="V29" s="53">
        <v>6.3</v>
      </c>
      <c r="W29" s="9">
        <f>G23*S29+T29</f>
        <v>5.8461599999999994</v>
      </c>
      <c r="X29" s="9"/>
    </row>
    <row r="30" spans="1:24" s="2" customFormat="1" ht="18" hidden="1" x14ac:dyDescent="0.35">
      <c r="A30" s="34"/>
      <c r="F30" s="36"/>
      <c r="G30" s="36"/>
      <c r="H30" s="36"/>
      <c r="I30" s="36"/>
      <c r="J30" s="36"/>
      <c r="M30" s="35"/>
      <c r="N30" s="48"/>
      <c r="O30" s="2">
        <f>SUM(O27:O29)</f>
        <v>1</v>
      </c>
      <c r="P30" s="9">
        <f>SUM(P27:P29)</f>
        <v>3</v>
      </c>
      <c r="Q30" s="9">
        <f>SUM(Q27:Q29)</f>
        <v>2</v>
      </c>
      <c r="R30" s="9"/>
      <c r="S30" s="9"/>
      <c r="T30" s="9"/>
      <c r="U30" s="9"/>
      <c r="V30" s="9"/>
      <c r="W30" s="9"/>
      <c r="X30" s="9"/>
    </row>
    <row r="31" spans="1:24" ht="8.25" customHeight="1" x14ac:dyDescent="0.3">
      <c r="A31" s="7"/>
      <c r="M31" s="10"/>
    </row>
    <row r="32" spans="1:24" x14ac:dyDescent="0.3">
      <c r="A32" s="7"/>
      <c r="H32" s="14" t="s">
        <v>110</v>
      </c>
      <c r="I32" s="26" t="str">
        <f>IF(G21=0,"- -",IF(O30=1,IF(AND(P30=1,Q30=1),V27,IF(AND(P30=1,Q30=2),W27,IF(AND(P30=2,Q30=1),V28,IF(AND(P30=2,Q30=2),W28,IF(AND(P30=3,Q30=1),V29,IF(AND(P30=3,Q30=2),W29,"Errore")))))),"- -"))</f>
        <v>- -</v>
      </c>
      <c r="J32" t="s">
        <v>5</v>
      </c>
      <c r="M32" s="10"/>
    </row>
    <row r="33" spans="1:24" x14ac:dyDescent="0.3">
      <c r="A33" s="7"/>
      <c r="H33" s="14" t="s">
        <v>111</v>
      </c>
      <c r="I33" s="26" t="str">
        <f>IF(G21=0,"- -",IF(O30=1,IF(S33&lt;0.2,0.2,S33),"- -"))</f>
        <v>- -</v>
      </c>
      <c r="J33" t="s">
        <v>5</v>
      </c>
      <c r="M33" s="10"/>
      <c r="P33" s="9" t="s">
        <v>15</v>
      </c>
      <c r="Q33" s="24">
        <f>IF(O10=1,Q10,IF(O11=1,Q11,IF(O12=1,Q12,IF(O13=1,Q13,IF(O14=1,Q14,IF(O15=1,Q15,IF(O16=1,Q16,IF(O17=1,Q17,IF(O17=1,Q17,IF(O18=1,Q18,IF(O19=1,Q19,"Errore!")))))))))))</f>
        <v>6</v>
      </c>
      <c r="R33" s="28" t="s">
        <v>16</v>
      </c>
      <c r="S33" s="9">
        <f>(G23/1000/Q33)^2*10.198</f>
        <v>0.28327777777777779</v>
      </c>
    </row>
    <row r="34" spans="1:24" ht="15.6" x14ac:dyDescent="0.3">
      <c r="A34" s="7"/>
      <c r="H34" s="15" t="s">
        <v>113</v>
      </c>
      <c r="I34" s="23" t="str">
        <f>IF(G21=0,"- -",IF(O30=1,I32-I33,"- -"))</f>
        <v>- -</v>
      </c>
      <c r="J34" s="16" t="s">
        <v>5</v>
      </c>
      <c r="K34" s="46"/>
      <c r="M34" s="10"/>
      <c r="N34" s="32"/>
    </row>
    <row r="35" spans="1:24" ht="9" customHeight="1" x14ac:dyDescent="0.3">
      <c r="A35" s="7"/>
      <c r="H35" s="15"/>
      <c r="I35" s="23"/>
      <c r="J35" s="16"/>
      <c r="M35" s="10"/>
      <c r="N35" s="32"/>
    </row>
    <row r="36" spans="1:24" ht="15.6" x14ac:dyDescent="0.3">
      <c r="A36" s="7"/>
      <c r="B36" s="13" t="str">
        <f>IF(G22&lt;=12,"Rechnung für FBH:","Rechnung für FBH nicht verfügbar wenn Δt &gt; 12 K")</f>
        <v>Rechnung für FBH nicht verfügbar wenn Δt &gt; 12 K</v>
      </c>
      <c r="H36" s="15"/>
      <c r="I36" s="23"/>
      <c r="J36" s="16"/>
      <c r="M36" s="10"/>
      <c r="N36" s="32"/>
      <c r="S36" s="54" t="s">
        <v>19</v>
      </c>
    </row>
    <row r="37" spans="1:24" ht="9" customHeight="1" x14ac:dyDescent="0.3">
      <c r="A37" s="7"/>
      <c r="H37" s="15"/>
      <c r="I37" s="23"/>
      <c r="J37" s="16"/>
      <c r="M37" s="10"/>
      <c r="N37" s="32"/>
    </row>
    <row r="38" spans="1:24" x14ac:dyDescent="0.3">
      <c r="A38" s="7"/>
      <c r="B38" t="s">
        <v>114</v>
      </c>
      <c r="F38" s="14"/>
      <c r="G38" s="62" t="s">
        <v>24</v>
      </c>
      <c r="I38" s="38" t="str">
        <f>IF(G22&gt;12,"","benutzen Δt=")</f>
        <v/>
      </c>
      <c r="J38" s="16" t="str">
        <f>IF(G22&gt;12,"",IF(G38=N38,P38,IF(G38=N39,P39,IF(G38=N40,P40,""))))</f>
        <v/>
      </c>
      <c r="M38" s="10"/>
      <c r="N38" s="24" t="s">
        <v>23</v>
      </c>
      <c r="O38" s="2">
        <f>IF(N38=G38,1,0)</f>
        <v>0</v>
      </c>
      <c r="P38" s="9" t="s">
        <v>20</v>
      </c>
      <c r="Q38" s="31">
        <f>T38*S38</f>
        <v>34.375</v>
      </c>
      <c r="R38" s="24" t="s">
        <v>17</v>
      </c>
      <c r="S38" s="53">
        <v>1.375</v>
      </c>
      <c r="T38" s="42">
        <v>25</v>
      </c>
      <c r="U38" s="27"/>
      <c r="V38" s="24" t="s">
        <v>17</v>
      </c>
    </row>
    <row r="39" spans="1:24" s="2" customFormat="1" ht="15.6" hidden="1" x14ac:dyDescent="0.3">
      <c r="A39" s="34"/>
      <c r="F39" s="27"/>
      <c r="G39" s="39"/>
      <c r="H39" s="40"/>
      <c r="I39" s="39"/>
      <c r="J39" s="32"/>
      <c r="M39" s="35"/>
      <c r="N39" s="24" t="s">
        <v>24</v>
      </c>
      <c r="O39" s="2">
        <f>IF(N39=G38,1,0)</f>
        <v>1</v>
      </c>
      <c r="P39" s="9" t="s">
        <v>21</v>
      </c>
      <c r="Q39" s="31">
        <f>T39*S39</f>
        <v>110</v>
      </c>
      <c r="R39" s="24" t="s">
        <v>17</v>
      </c>
      <c r="S39" s="53">
        <v>1.375</v>
      </c>
      <c r="T39" s="43">
        <v>80</v>
      </c>
      <c r="U39" s="31"/>
      <c r="V39" s="24" t="s">
        <v>17</v>
      </c>
      <c r="W39" s="9"/>
      <c r="X39" s="9"/>
    </row>
    <row r="40" spans="1:24" s="2" customFormat="1" ht="15.6" hidden="1" x14ac:dyDescent="0.3">
      <c r="A40" s="34"/>
      <c r="F40" s="27"/>
      <c r="G40" s="39"/>
      <c r="H40" s="40"/>
      <c r="I40" s="39"/>
      <c r="J40" s="32"/>
      <c r="M40" s="35"/>
      <c r="N40" s="24" t="s">
        <v>25</v>
      </c>
      <c r="O40" s="2">
        <f>IF(N40=G38,1,0)</f>
        <v>0</v>
      </c>
      <c r="P40" s="9" t="s">
        <v>22</v>
      </c>
      <c r="Q40" s="31">
        <f>T40*S40</f>
        <v>192.5</v>
      </c>
      <c r="R40" s="24" t="s">
        <v>17</v>
      </c>
      <c r="S40" s="53">
        <v>1.375</v>
      </c>
      <c r="T40" s="42">
        <v>140</v>
      </c>
      <c r="U40" s="27"/>
      <c r="V40" s="24" t="s">
        <v>17</v>
      </c>
      <c r="W40" s="9"/>
      <c r="X40" s="9"/>
    </row>
    <row r="41" spans="1:24" s="2" customFormat="1" ht="18" hidden="1" x14ac:dyDescent="0.35">
      <c r="A41" s="34"/>
      <c r="F41" s="36"/>
      <c r="G41" s="36"/>
      <c r="H41" s="36"/>
      <c r="I41" s="36"/>
      <c r="J41" s="36"/>
      <c r="M41" s="35"/>
      <c r="N41" s="48"/>
      <c r="O41" s="2">
        <f>SUM(O38:O40)</f>
        <v>1</v>
      </c>
      <c r="P41" s="9">
        <f>SUM(P38:P40)</f>
        <v>0</v>
      </c>
      <c r="Q41" s="27"/>
      <c r="R41" s="9"/>
      <c r="S41" s="9"/>
      <c r="T41" s="9"/>
      <c r="U41" s="9"/>
      <c r="V41" s="9"/>
      <c r="W41" s="9"/>
      <c r="X41" s="9"/>
    </row>
    <row r="42" spans="1:24" ht="9" customHeight="1" x14ac:dyDescent="0.3">
      <c r="A42" s="7"/>
      <c r="H42" s="15"/>
      <c r="I42" s="23"/>
      <c r="J42" s="16"/>
      <c r="M42" s="10"/>
      <c r="N42" s="32"/>
    </row>
    <row r="43" spans="1:24" ht="44.25" customHeight="1" x14ac:dyDescent="0.3">
      <c r="A43" s="7"/>
      <c r="B43" s="65" t="str">
        <f>IF(G22&gt;12,"","Maximale FBH-Oberfläche verwaltbar von jedem Modul, mit einer Temperaturdifferenz in einem angemessenen Verhältnis zu der Klasse der Wärmedämmung ausgewählt:")</f>
        <v/>
      </c>
      <c r="C43" s="65"/>
      <c r="D43" s="65"/>
      <c r="E43" s="65"/>
      <c r="F43" s="65"/>
      <c r="G43" s="65"/>
      <c r="H43" s="65"/>
      <c r="I43" s="52" t="str">
        <f>IF(G22&gt;12,"",IF(G21=0,"- -",IF(G22&lt;=12,IF(O38=1,E25*1000/Q38,IF(O39=1,E25*1000/Q39,IF(O40=1,E25*1000/Q40,"- -"))),"- - ")))</f>
        <v/>
      </c>
      <c r="J43" s="29" t="str">
        <f>IF(G22&gt;12,"","m2")</f>
        <v/>
      </c>
      <c r="M43" s="10"/>
      <c r="N43" s="50"/>
      <c r="Q43" s="27"/>
    </row>
    <row r="44" spans="1:24" ht="10.5" customHeight="1" x14ac:dyDescent="0.3">
      <c r="A44" s="17"/>
      <c r="B44" s="18"/>
      <c r="C44" s="18"/>
      <c r="D44" s="18"/>
      <c r="E44" s="18"/>
      <c r="F44" s="19"/>
      <c r="G44" s="18"/>
      <c r="H44" s="18"/>
      <c r="I44" s="19"/>
      <c r="J44" s="19"/>
      <c r="K44" s="18"/>
      <c r="L44" s="18"/>
      <c r="M44" s="20"/>
    </row>
    <row r="45" spans="1:24" ht="18.75" customHeight="1" x14ac:dyDescent="0.3"/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4"/>
      <c r="L46" s="4"/>
      <c r="M46" s="6"/>
      <c r="Q46" s="53"/>
      <c r="R46" s="44"/>
      <c r="S46" s="44"/>
      <c r="T46" s="44"/>
      <c r="U46" s="44"/>
    </row>
    <row r="47" spans="1:24" ht="15.6" x14ac:dyDescent="0.3">
      <c r="A47" s="7"/>
      <c r="B47" s="8" t="s">
        <v>102</v>
      </c>
      <c r="G47" s="70" t="s">
        <v>33</v>
      </c>
      <c r="H47" s="70"/>
      <c r="I47" s="70"/>
      <c r="J47" s="70"/>
      <c r="M47" s="10"/>
      <c r="N47" s="47" t="s">
        <v>33</v>
      </c>
      <c r="O47" s="2">
        <f>IF(G47=N47,1,0)</f>
        <v>1</v>
      </c>
      <c r="P47" s="9" t="s">
        <v>15</v>
      </c>
      <c r="Q47" s="41">
        <v>6</v>
      </c>
      <c r="R47" s="44">
        <v>4.0999999999999996</v>
      </c>
      <c r="S47" s="44">
        <v>2284</v>
      </c>
      <c r="T47" s="44">
        <v>1770</v>
      </c>
      <c r="U47" s="44">
        <v>1511</v>
      </c>
      <c r="V47" s="45">
        <f>S47*$G59/860</f>
        <v>53.116279069767444</v>
      </c>
      <c r="W47" s="45">
        <f>T47*$G59/860</f>
        <v>41.162790697674417</v>
      </c>
      <c r="X47" s="45">
        <f>U47*$G59/860</f>
        <v>35.139534883720927</v>
      </c>
    </row>
    <row r="48" spans="1:24" s="2" customFormat="1" ht="15.6" hidden="1" x14ac:dyDescent="0.3">
      <c r="A48" s="34"/>
      <c r="B48" s="37"/>
      <c r="F48" s="9"/>
      <c r="G48" s="9"/>
      <c r="I48" s="9"/>
      <c r="J48" s="9"/>
      <c r="M48" s="35"/>
      <c r="N48" s="47" t="s">
        <v>34</v>
      </c>
      <c r="O48" s="2">
        <f>IF(G47=N48,1,0)</f>
        <v>0</v>
      </c>
      <c r="P48" s="9" t="s">
        <v>15</v>
      </c>
      <c r="Q48" s="41">
        <v>2.7</v>
      </c>
      <c r="R48" s="44">
        <v>5</v>
      </c>
      <c r="S48" s="44">
        <v>1363</v>
      </c>
      <c r="T48" s="44">
        <v>1060</v>
      </c>
      <c r="U48" s="44">
        <v>885</v>
      </c>
      <c r="V48" s="45">
        <f>S48*$G59/860</f>
        <v>31.697674418604652</v>
      </c>
      <c r="W48" s="45">
        <f>T48*$G59/860</f>
        <v>24.651162790697676</v>
      </c>
      <c r="X48" s="45">
        <f>U48*$G59/860</f>
        <v>20.581395348837209</v>
      </c>
    </row>
    <row r="49" spans="1:24" s="2" customFormat="1" ht="15.6" hidden="1" x14ac:dyDescent="0.3">
      <c r="A49" s="34"/>
      <c r="B49" s="37"/>
      <c r="F49" s="9"/>
      <c r="G49" s="9"/>
      <c r="I49" s="9"/>
      <c r="J49" s="9"/>
      <c r="M49" s="35"/>
      <c r="N49" s="47" t="s">
        <v>35</v>
      </c>
      <c r="O49" s="2">
        <f>IF(G47=N49,1,0)</f>
        <v>0</v>
      </c>
      <c r="P49" s="9" t="s">
        <v>15</v>
      </c>
      <c r="Q49" s="41">
        <v>3.8</v>
      </c>
      <c r="R49" s="44">
        <v>5</v>
      </c>
      <c r="S49" s="44">
        <v>1673</v>
      </c>
      <c r="T49" s="44">
        <v>1261</v>
      </c>
      <c r="U49" s="44">
        <v>1039</v>
      </c>
      <c r="V49" s="45">
        <f>S49*$G59/860</f>
        <v>38.906976744186046</v>
      </c>
      <c r="W49" s="45">
        <f>T49*$G59/860</f>
        <v>29.325581395348838</v>
      </c>
      <c r="X49" s="45">
        <f>U49*$G59/860</f>
        <v>24.162790697674417</v>
      </c>
    </row>
    <row r="50" spans="1:24" s="2" customFormat="1" ht="15.6" hidden="1" x14ac:dyDescent="0.3">
      <c r="A50" s="34"/>
      <c r="B50" s="37"/>
      <c r="F50" s="9"/>
      <c r="G50" s="9"/>
      <c r="I50" s="9"/>
      <c r="J50" s="9"/>
      <c r="M50" s="35"/>
      <c r="N50" s="47" t="s">
        <v>26</v>
      </c>
      <c r="O50" s="2">
        <f>IF(G47=N50,1,0)</f>
        <v>0</v>
      </c>
      <c r="P50" s="9" t="s">
        <v>15</v>
      </c>
      <c r="Q50" s="41">
        <v>4</v>
      </c>
      <c r="R50" s="44">
        <v>4.5</v>
      </c>
      <c r="S50" s="44">
        <v>1826</v>
      </c>
      <c r="T50" s="44">
        <v>1416</v>
      </c>
      <c r="U50" s="44">
        <v>1199</v>
      </c>
      <c r="V50" s="45">
        <f>S50*$G59/860</f>
        <v>42.465116279069768</v>
      </c>
      <c r="W50" s="45">
        <f>T50*$G59/860</f>
        <v>32.930232558139537</v>
      </c>
      <c r="X50" s="45">
        <f>U50*$G59/860</f>
        <v>27.88372093023256</v>
      </c>
    </row>
    <row r="51" spans="1:24" s="2" customFormat="1" ht="15.6" hidden="1" x14ac:dyDescent="0.3">
      <c r="A51" s="34"/>
      <c r="B51" s="37"/>
      <c r="F51" s="9"/>
      <c r="G51" s="9"/>
      <c r="I51" s="9"/>
      <c r="J51" s="9"/>
      <c r="M51" s="35"/>
      <c r="N51" s="47" t="s">
        <v>27</v>
      </c>
      <c r="O51" s="2">
        <f>IF(G47=N51,1,0)</f>
        <v>0</v>
      </c>
      <c r="P51" s="9" t="s">
        <v>15</v>
      </c>
      <c r="Q51" s="41">
        <v>5.5</v>
      </c>
      <c r="R51" s="44">
        <v>4.5</v>
      </c>
      <c r="S51" s="44">
        <v>1950</v>
      </c>
      <c r="T51" s="44">
        <v>1601</v>
      </c>
      <c r="U51" s="44">
        <v>1343</v>
      </c>
      <c r="V51" s="45">
        <f>S51*$G59/860</f>
        <v>45.348837209302324</v>
      </c>
      <c r="W51" s="45">
        <f t="shared" ref="W51:X51" si="6">T51*$G59/860</f>
        <v>37.232558139534881</v>
      </c>
      <c r="X51" s="45">
        <f t="shared" si="6"/>
        <v>31.232558139534884</v>
      </c>
    </row>
    <row r="52" spans="1:24" s="2" customFormat="1" ht="15.6" hidden="1" x14ac:dyDescent="0.3">
      <c r="A52" s="34"/>
      <c r="B52" s="37"/>
      <c r="F52" s="9"/>
      <c r="G52" s="9"/>
      <c r="I52" s="9"/>
      <c r="J52" s="9"/>
      <c r="M52" s="35"/>
      <c r="N52" s="47" t="s">
        <v>28</v>
      </c>
      <c r="O52" s="2">
        <f>IF(G47=N52,1,0)</f>
        <v>0</v>
      </c>
      <c r="P52" s="9" t="s">
        <v>15</v>
      </c>
      <c r="Q52" s="41">
        <v>2</v>
      </c>
      <c r="R52" s="44">
        <v>5</v>
      </c>
      <c r="S52" s="44">
        <v>1010</v>
      </c>
      <c r="T52" s="44">
        <v>880</v>
      </c>
      <c r="U52" s="44">
        <v>714</v>
      </c>
      <c r="V52" s="45">
        <f>S52*$G59/860</f>
        <v>23.488372093023255</v>
      </c>
      <c r="W52" s="45">
        <f t="shared" ref="W52:X52" si="7">T52*$G59/860</f>
        <v>20.465116279069768</v>
      </c>
      <c r="X52" s="45">
        <f t="shared" si="7"/>
        <v>16.604651162790699</v>
      </c>
    </row>
    <row r="53" spans="1:24" s="2" customFormat="1" ht="15.6" hidden="1" x14ac:dyDescent="0.3">
      <c r="A53" s="34"/>
      <c r="B53" s="37"/>
      <c r="F53" s="9"/>
      <c r="G53" s="9"/>
      <c r="I53" s="9"/>
      <c r="J53" s="9"/>
      <c r="M53" s="35"/>
      <c r="N53" s="47" t="s">
        <v>29</v>
      </c>
      <c r="O53" s="2">
        <f>IF(G47=N53,1,0)</f>
        <v>0</v>
      </c>
      <c r="P53" s="9" t="s">
        <v>15</v>
      </c>
      <c r="Q53" s="41">
        <v>2.4</v>
      </c>
      <c r="R53" s="44">
        <v>5</v>
      </c>
      <c r="S53" s="44">
        <v>1212</v>
      </c>
      <c r="T53" s="44">
        <v>989</v>
      </c>
      <c r="U53" s="44">
        <v>829</v>
      </c>
      <c r="V53" s="45">
        <f>S53*$G59/860</f>
        <v>28.186046511627907</v>
      </c>
      <c r="W53" s="45">
        <f t="shared" ref="W53:X53" si="8">T53*$G59/860</f>
        <v>23</v>
      </c>
      <c r="X53" s="45">
        <f t="shared" si="8"/>
        <v>19.279069767441861</v>
      </c>
    </row>
    <row r="54" spans="1:24" s="2" customFormat="1" ht="15.6" hidden="1" x14ac:dyDescent="0.3">
      <c r="A54" s="34"/>
      <c r="B54" s="37"/>
      <c r="F54" s="9"/>
      <c r="G54" s="9"/>
      <c r="I54" s="9"/>
      <c r="J54" s="9"/>
      <c r="M54" s="35"/>
      <c r="N54" s="47" t="s">
        <v>30</v>
      </c>
      <c r="O54" s="2">
        <f>IF(G47=N54,1,0)</f>
        <v>0</v>
      </c>
      <c r="P54" s="9" t="s">
        <v>15</v>
      </c>
      <c r="Q54" s="41">
        <v>3.1</v>
      </c>
      <c r="R54" s="44">
        <v>5</v>
      </c>
      <c r="S54" s="44">
        <v>1497</v>
      </c>
      <c r="T54" s="44">
        <v>1143</v>
      </c>
      <c r="U54" s="44">
        <v>949</v>
      </c>
      <c r="V54" s="45">
        <f>S54*$G59/860</f>
        <v>34.813953488372093</v>
      </c>
      <c r="W54" s="45">
        <f t="shared" ref="W54:X54" si="9">T54*$G59/860</f>
        <v>26.581395348837209</v>
      </c>
      <c r="X54" s="45">
        <f t="shared" si="9"/>
        <v>22.069767441860463</v>
      </c>
    </row>
    <row r="55" spans="1:24" s="2" customFormat="1" ht="15.6" hidden="1" x14ac:dyDescent="0.3">
      <c r="A55" s="34"/>
      <c r="B55" s="37"/>
      <c r="F55" s="9"/>
      <c r="G55" s="9"/>
      <c r="I55" s="9"/>
      <c r="J55" s="9"/>
      <c r="M55" s="35"/>
      <c r="N55" s="47" t="s">
        <v>31</v>
      </c>
      <c r="O55" s="2">
        <f>IF(G47=N55,1,0)</f>
        <v>0</v>
      </c>
      <c r="P55" s="9" t="s">
        <v>15</v>
      </c>
      <c r="Q55" s="41">
        <v>1.7</v>
      </c>
      <c r="R55" s="44">
        <v>5</v>
      </c>
      <c r="S55" s="44">
        <v>858</v>
      </c>
      <c r="T55" s="44">
        <v>781</v>
      </c>
      <c r="U55" s="44">
        <v>607</v>
      </c>
      <c r="V55" s="45">
        <f>S55*$G59/860</f>
        <v>19.953488372093023</v>
      </c>
      <c r="W55" s="45">
        <f t="shared" ref="W55:X55" si="10">T55*$G59/860</f>
        <v>18.162790697674417</v>
      </c>
      <c r="X55" s="45">
        <f t="shared" si="10"/>
        <v>14.116279069767442</v>
      </c>
    </row>
    <row r="56" spans="1:24" s="2" customFormat="1" ht="15.6" hidden="1" x14ac:dyDescent="0.3">
      <c r="A56" s="34"/>
      <c r="B56" s="37"/>
      <c r="F56" s="9"/>
      <c r="G56" s="9"/>
      <c r="I56" s="9"/>
      <c r="J56" s="9"/>
      <c r="M56" s="35"/>
      <c r="N56" s="47" t="s">
        <v>32</v>
      </c>
      <c r="O56" s="2">
        <f>IF(G47=N56,1,0)</f>
        <v>0</v>
      </c>
      <c r="P56" s="9" t="s">
        <v>15</v>
      </c>
      <c r="Q56" s="41">
        <v>1.9</v>
      </c>
      <c r="R56" s="44">
        <v>5</v>
      </c>
      <c r="S56" s="44">
        <v>1000</v>
      </c>
      <c r="T56" s="44">
        <v>850</v>
      </c>
      <c r="U56" s="44">
        <v>678</v>
      </c>
      <c r="V56" s="45">
        <f>S56*$G59/860</f>
        <v>23.255813953488371</v>
      </c>
      <c r="W56" s="45">
        <f t="shared" ref="W56:X56" si="11">T56*$G59/860</f>
        <v>19.767441860465116</v>
      </c>
      <c r="X56" s="45">
        <f t="shared" si="11"/>
        <v>15.767441860465116</v>
      </c>
    </row>
    <row r="57" spans="1:24" ht="8.25" customHeight="1" x14ac:dyDescent="0.35">
      <c r="A57" s="7"/>
      <c r="F57" s="33"/>
      <c r="G57" s="33"/>
      <c r="H57" s="33"/>
      <c r="I57" s="33"/>
      <c r="J57" s="33"/>
      <c r="M57" s="10"/>
      <c r="N57" s="48"/>
    </row>
    <row r="58" spans="1:24" x14ac:dyDescent="0.3">
      <c r="A58" s="7"/>
      <c r="B58" t="s">
        <v>104</v>
      </c>
      <c r="G58" s="61">
        <v>0</v>
      </c>
      <c r="H58" s="77" t="str">
        <f>IF(G21+G58+G95&gt;3,"Max. Anzahl von Modulen in Gesamt = 3","")</f>
        <v/>
      </c>
      <c r="I58" s="77"/>
      <c r="J58" s="77"/>
      <c r="K58" s="77"/>
      <c r="L58" s="77"/>
      <c r="M58" s="10"/>
      <c r="O58" s="2">
        <v>0</v>
      </c>
    </row>
    <row r="59" spans="1:24" x14ac:dyDescent="0.3">
      <c r="A59" s="7"/>
      <c r="B59" t="s">
        <v>105</v>
      </c>
      <c r="G59" s="61">
        <v>20</v>
      </c>
      <c r="H59" t="s">
        <v>1</v>
      </c>
      <c r="M59" s="10"/>
      <c r="N59" s="49"/>
      <c r="O59" s="2">
        <v>1</v>
      </c>
    </row>
    <row r="60" spans="1:24" ht="15.6" x14ac:dyDescent="0.3">
      <c r="A60" s="7"/>
      <c r="B60" t="s">
        <v>106</v>
      </c>
      <c r="G60" s="61">
        <v>1000</v>
      </c>
      <c r="H60" s="22" t="s">
        <v>2</v>
      </c>
      <c r="I60" s="8"/>
      <c r="J60" s="8"/>
      <c r="K60" s="51"/>
      <c r="L60" s="25"/>
      <c r="M60" s="10"/>
      <c r="N60" s="49"/>
      <c r="O60" s="2">
        <v>2</v>
      </c>
      <c r="P60" s="54"/>
      <c r="Q60" s="11"/>
      <c r="R60" s="11"/>
      <c r="S60" s="11"/>
      <c r="T60" s="11"/>
      <c r="U60" s="11"/>
      <c r="V60" s="11"/>
      <c r="W60" s="11"/>
      <c r="X60" s="11"/>
    </row>
    <row r="61" spans="1:24" x14ac:dyDescent="0.3">
      <c r="A61" s="7"/>
      <c r="L61" s="12" t="s">
        <v>108</v>
      </c>
      <c r="M61" s="10"/>
      <c r="N61" s="49"/>
      <c r="O61" s="2">
        <v>3</v>
      </c>
    </row>
    <row r="62" spans="1:24" ht="15.6" x14ac:dyDescent="0.3">
      <c r="A62" s="7"/>
      <c r="B62" s="13" t="s">
        <v>107</v>
      </c>
      <c r="E62" s="30" t="str">
        <f>IF(G58=0,"- -",G60*G59/860)</f>
        <v>- -</v>
      </c>
      <c r="F62" s="21" t="s">
        <v>0</v>
      </c>
      <c r="H62" s="58" t="s">
        <v>109</v>
      </c>
      <c r="I62" s="56" t="str">
        <f>IF(G58=0,"- -",IF(AND(O47=1,O64=1),V47,IF(AND(O47=1,O65=1),W47,IF(AND(O47=1,O66=1),X47,IF(AND(O48=1,O64=1),V48,IF(AND(O48=1,O65=1),W48,IF(AND(O48=1,O66=1),X48,IF(AND(O49=1,O64=1),V49,IF(AND(O49=1,O65=1),W49,IF(AND(O49=1,O66=1),X49,IF(AND(O50=1,O64=1),V50,IF(AND(O50=1,O65=1),W50,IF(AND(O50=1,O66=1),X50,IF(AND(O51=1,O64=1),V51,IF(AND(O51=1,O65=1),W51,IF(AND(O51=1,O66=1),X51,IF(AND(O52=1,O64=1),V52,IF(AND(O52=1,O65=1),W52,IF(AND(O52=1,O66=1),X52,IF(AND(O53=1,O64=1),V53,IF(AND(O53=1,O65=1),W53,IF(AND(O53=1,O66=1),X53,IF(AND(O54=1,O64=1),V54,IF(AND(O54=1,O65=1),W54,IF(AND(O54=1,O66=1),X54,IF(AND(O55=1,O64=1),V55,IF(AND(O55=1,O65=1),W55,IF(AND(O55=1,O66=1),X55,IF(AND(O56=1,O64=1),V56,IF(AND(O56=1,O65=1),W56,IF(AND(O56=1,O66=1),X56,"Errore")))))))))))))))))))))))))))))))</f>
        <v>- -</v>
      </c>
      <c r="J62" s="59" t="s">
        <v>18</v>
      </c>
      <c r="K62" s="30" t="str">
        <f>IF(G58=0,"- -",G58*E62)</f>
        <v>- -</v>
      </c>
      <c r="L62" s="21" t="s">
        <v>0</v>
      </c>
      <c r="M62" s="10"/>
      <c r="N62" s="57" t="e">
        <f>E62/I62-1</f>
        <v>#VALUE!</v>
      </c>
      <c r="P62" s="28"/>
      <c r="Q62" s="24"/>
      <c r="S62" s="54" t="s">
        <v>13</v>
      </c>
      <c r="T62" s="54" t="s">
        <v>14</v>
      </c>
      <c r="U62" s="54"/>
    </row>
    <row r="63" spans="1:24" x14ac:dyDescent="0.3">
      <c r="A63" s="7"/>
      <c r="M63" s="10"/>
      <c r="P63" s="54" t="s">
        <v>11</v>
      </c>
      <c r="Q63" s="54" t="s">
        <v>10</v>
      </c>
      <c r="R63" s="54" t="s">
        <v>9</v>
      </c>
      <c r="S63" s="54" t="s">
        <v>12</v>
      </c>
      <c r="T63" s="54" t="s">
        <v>12</v>
      </c>
      <c r="U63" s="54"/>
      <c r="V63" s="54" t="s">
        <v>7</v>
      </c>
      <c r="W63" s="54" t="s">
        <v>8</v>
      </c>
      <c r="X63" s="54"/>
    </row>
    <row r="64" spans="1:24" x14ac:dyDescent="0.3">
      <c r="A64" s="7"/>
      <c r="B64" t="s">
        <v>112</v>
      </c>
      <c r="G64" s="68" t="s">
        <v>3</v>
      </c>
      <c r="H64" s="68"/>
      <c r="I64" s="68"/>
      <c r="J64" s="68"/>
      <c r="M64" s="10"/>
      <c r="N64" s="2" t="s">
        <v>6</v>
      </c>
      <c r="O64" s="2">
        <f>IF(N64=G64,1,0)</f>
        <v>0</v>
      </c>
      <c r="P64" s="9" t="str">
        <f>IF(O64=1,1,"")</f>
        <v/>
      </c>
      <c r="Q64" s="9" t="str">
        <f>IF(O64=1,IF(G60&gt;=R64,2,1),"")</f>
        <v/>
      </c>
      <c r="R64" s="53">
        <v>1400</v>
      </c>
      <c r="S64" s="53">
        <v>-2.2857099999999998E-3</v>
      </c>
      <c r="T64" s="53">
        <v>10.8</v>
      </c>
      <c r="V64" s="53">
        <v>7.6</v>
      </c>
      <c r="W64" s="9">
        <f>G60*S64+T64</f>
        <v>8.5142900000000008</v>
      </c>
    </row>
    <row r="65" spans="1:24" s="2" customFormat="1" hidden="1" x14ac:dyDescent="0.3">
      <c r="A65" s="34"/>
      <c r="F65" s="9"/>
      <c r="G65" s="9"/>
      <c r="I65" s="9"/>
      <c r="J65" s="9"/>
      <c r="M65" s="35"/>
      <c r="N65" s="2" t="s">
        <v>4</v>
      </c>
      <c r="O65" s="2">
        <f>IF(N65=G64,1,0)</f>
        <v>0</v>
      </c>
      <c r="P65" s="9" t="str">
        <f>IF(O65=1,2,"")</f>
        <v/>
      </c>
      <c r="Q65" s="9" t="str">
        <f>IF(O65=1,IF(G60&gt;=R65,2,1),"")</f>
        <v/>
      </c>
      <c r="R65" s="53">
        <v>800</v>
      </c>
      <c r="S65" s="53">
        <v>-2.23077E-3</v>
      </c>
      <c r="T65" s="53">
        <v>8.9350000000000005</v>
      </c>
      <c r="U65" s="9"/>
      <c r="V65" s="53">
        <v>7.15</v>
      </c>
      <c r="W65" s="9">
        <f>G60*S65+T65</f>
        <v>6.7042300000000008</v>
      </c>
      <c r="X65" s="9"/>
    </row>
    <row r="66" spans="1:24" s="2" customFormat="1" hidden="1" x14ac:dyDescent="0.3">
      <c r="A66" s="34"/>
      <c r="F66" s="9"/>
      <c r="G66" s="9"/>
      <c r="I66" s="9"/>
      <c r="J66" s="9"/>
      <c r="M66" s="35"/>
      <c r="N66" s="2" t="s">
        <v>3</v>
      </c>
      <c r="O66" s="2">
        <f>IF(N66=G64,1,0)</f>
        <v>1</v>
      </c>
      <c r="P66" s="9">
        <f>IF(O66=1,3,"")</f>
        <v>3</v>
      </c>
      <c r="Q66" s="9">
        <f>IF(O66=1,IF(G60&gt;=R66,2,1),"")</f>
        <v>2</v>
      </c>
      <c r="R66" s="53">
        <v>800</v>
      </c>
      <c r="S66" s="53">
        <v>-2.1538400000000002E-3</v>
      </c>
      <c r="T66" s="53">
        <v>8</v>
      </c>
      <c r="U66" s="9"/>
      <c r="V66" s="53">
        <v>6.3</v>
      </c>
      <c r="W66" s="9">
        <f>G60*S66+T66</f>
        <v>5.8461599999999994</v>
      </c>
      <c r="X66" s="9"/>
    </row>
    <row r="67" spans="1:24" s="2" customFormat="1" ht="18" hidden="1" x14ac:dyDescent="0.35">
      <c r="A67" s="34"/>
      <c r="F67" s="36"/>
      <c r="G67" s="36"/>
      <c r="H67" s="36"/>
      <c r="I67" s="36"/>
      <c r="J67" s="36"/>
      <c r="M67" s="35"/>
      <c r="N67" s="48"/>
      <c r="O67" s="2">
        <f>SUM(O64:O66)</f>
        <v>1</v>
      </c>
      <c r="P67" s="9">
        <f>SUM(P64:P66)</f>
        <v>3</v>
      </c>
      <c r="Q67" s="9">
        <f>SUM(Q64:Q66)</f>
        <v>2</v>
      </c>
      <c r="R67" s="9"/>
      <c r="S67" s="9"/>
      <c r="T67" s="9"/>
      <c r="U67" s="9"/>
      <c r="V67" s="9"/>
      <c r="W67" s="9"/>
      <c r="X67" s="9"/>
    </row>
    <row r="68" spans="1:24" ht="8.25" customHeight="1" x14ac:dyDescent="0.3">
      <c r="A68" s="7"/>
      <c r="M68" s="10"/>
    </row>
    <row r="69" spans="1:24" x14ac:dyDescent="0.3">
      <c r="A69" s="7"/>
      <c r="H69" s="14" t="s">
        <v>73</v>
      </c>
      <c r="I69" s="26" t="str">
        <f>IF(G58=0,"- -",IF(O67=1,IF(AND(P67=1,Q67=1),V64,IF(AND(P67=1,Q67=2),W64,IF(AND(P67=2,Q67=1),V65,IF(AND(P67=2,Q67=2),W65,IF(AND(P67=3,Q67=1),V66,IF(AND(P67=3,Q67=2),W66,"Errore")))))),"- -"))</f>
        <v>- -</v>
      </c>
      <c r="J69" t="s">
        <v>5</v>
      </c>
      <c r="M69" s="10"/>
    </row>
    <row r="70" spans="1:24" x14ac:dyDescent="0.3">
      <c r="A70" s="7"/>
      <c r="H70" s="14" t="s">
        <v>74</v>
      </c>
      <c r="I70" s="26" t="str">
        <f>IF(G58=0,"- -",IF(O67=1,IF(S70&lt;0.2,0.2,S70),"- -"))</f>
        <v>- -</v>
      </c>
      <c r="J70" t="s">
        <v>5</v>
      </c>
      <c r="M70" s="10"/>
      <c r="P70" s="9" t="s">
        <v>15</v>
      </c>
      <c r="Q70" s="24">
        <f>IF(O47=1,Q47,IF(O48=1,Q48,IF(O49=1,Q49,IF(O50=1,Q50,IF(O51=1,Q51,IF(O52=1,Q52,IF(O53=1,Q53,IF(O54=1,Q54,IF(O54=1,Q54,IF(O55=1,Q55,IF(O56=1,Q56,"Errore!")))))))))))</f>
        <v>6</v>
      </c>
      <c r="R70" s="28" t="s">
        <v>16</v>
      </c>
      <c r="S70" s="9">
        <f>(G60/1000/Q70)^2*10.198</f>
        <v>0.28327777777777779</v>
      </c>
    </row>
    <row r="71" spans="1:24" ht="15.6" x14ac:dyDescent="0.3">
      <c r="A71" s="7"/>
      <c r="H71" s="15" t="s">
        <v>113</v>
      </c>
      <c r="I71" s="23" t="str">
        <f>IF(G58=0,"- -",IF(O67=1,I69-I70,"- -"))</f>
        <v>- -</v>
      </c>
      <c r="J71" s="16" t="s">
        <v>5</v>
      </c>
      <c r="K71" s="46"/>
      <c r="M71" s="10"/>
      <c r="N71" s="32"/>
    </row>
    <row r="72" spans="1:24" ht="9" customHeight="1" x14ac:dyDescent="0.3">
      <c r="A72" s="7"/>
      <c r="H72" s="15"/>
      <c r="I72" s="23"/>
      <c r="J72" s="16"/>
      <c r="M72" s="10"/>
      <c r="N72" s="32"/>
    </row>
    <row r="73" spans="1:24" ht="15.6" x14ac:dyDescent="0.3">
      <c r="A73" s="7"/>
      <c r="B73" s="13" t="str">
        <f>IF(G59&lt;=12,"Rechnung für FBH:","Rechnung für FBH nicht verfügbar wenn Δt &gt; 12 K")</f>
        <v>Rechnung für FBH nicht verfügbar wenn Δt &gt; 12 K</v>
      </c>
      <c r="H73" s="15"/>
      <c r="I73" s="23"/>
      <c r="J73" s="16"/>
      <c r="M73" s="10"/>
      <c r="N73" s="32"/>
      <c r="S73" s="54" t="s">
        <v>19</v>
      </c>
    </row>
    <row r="74" spans="1:24" ht="9" customHeight="1" x14ac:dyDescent="0.3">
      <c r="A74" s="7"/>
      <c r="H74" s="15"/>
      <c r="I74" s="23"/>
      <c r="J74" s="16"/>
      <c r="M74" s="10"/>
      <c r="N74" s="32"/>
    </row>
    <row r="75" spans="1:24" x14ac:dyDescent="0.3">
      <c r="A75" s="7"/>
      <c r="B75" t="s">
        <v>114</v>
      </c>
      <c r="F75" s="14"/>
      <c r="G75" s="62" t="s">
        <v>24</v>
      </c>
      <c r="I75" s="38" t="str">
        <f>IF(G59&gt;12,"","benutzen Δt =")</f>
        <v/>
      </c>
      <c r="J75" s="16" t="str">
        <f>IF(G59&gt;12,"",IF(G75=N75,P75,IF(G75=N76,P76,IF(G75=N77,P77,""))))</f>
        <v/>
      </c>
      <c r="M75" s="10"/>
      <c r="N75" s="24" t="s">
        <v>23</v>
      </c>
      <c r="O75" s="2">
        <f>IF(N75=G75,1,0)</f>
        <v>0</v>
      </c>
      <c r="P75" s="9" t="s">
        <v>20</v>
      </c>
      <c r="Q75" s="31">
        <f>T75*S75</f>
        <v>34.375</v>
      </c>
      <c r="R75" s="24" t="s">
        <v>17</v>
      </c>
      <c r="S75" s="53">
        <v>1.375</v>
      </c>
      <c r="T75" s="42">
        <v>25</v>
      </c>
      <c r="U75" s="27"/>
      <c r="V75" s="24" t="s">
        <v>17</v>
      </c>
    </row>
    <row r="76" spans="1:24" s="2" customFormat="1" ht="15.6" hidden="1" x14ac:dyDescent="0.3">
      <c r="A76" s="34"/>
      <c r="F76" s="27"/>
      <c r="G76" s="39"/>
      <c r="H76" s="40"/>
      <c r="I76" s="39"/>
      <c r="J76" s="32"/>
      <c r="M76" s="35"/>
      <c r="N76" s="24" t="s">
        <v>24</v>
      </c>
      <c r="O76" s="2">
        <f>IF(N76=G75,1,0)</f>
        <v>1</v>
      </c>
      <c r="P76" s="9" t="s">
        <v>21</v>
      </c>
      <c r="Q76" s="31">
        <f>T76*S76</f>
        <v>110</v>
      </c>
      <c r="R76" s="24" t="s">
        <v>17</v>
      </c>
      <c r="S76" s="53">
        <v>1.375</v>
      </c>
      <c r="T76" s="43">
        <v>80</v>
      </c>
      <c r="U76" s="31"/>
      <c r="V76" s="24" t="s">
        <v>17</v>
      </c>
      <c r="W76" s="9"/>
      <c r="X76" s="9"/>
    </row>
    <row r="77" spans="1:24" s="2" customFormat="1" ht="15.6" hidden="1" x14ac:dyDescent="0.3">
      <c r="A77" s="34"/>
      <c r="F77" s="27"/>
      <c r="G77" s="39"/>
      <c r="H77" s="40"/>
      <c r="I77" s="39"/>
      <c r="J77" s="32"/>
      <c r="M77" s="35"/>
      <c r="N77" s="24" t="s">
        <v>25</v>
      </c>
      <c r="O77" s="2">
        <f>IF(N77=G75,1,0)</f>
        <v>0</v>
      </c>
      <c r="P77" s="9" t="s">
        <v>22</v>
      </c>
      <c r="Q77" s="31">
        <f>T77*S77</f>
        <v>192.5</v>
      </c>
      <c r="R77" s="24" t="s">
        <v>17</v>
      </c>
      <c r="S77" s="53">
        <v>1.375</v>
      </c>
      <c r="T77" s="42">
        <v>140</v>
      </c>
      <c r="U77" s="27"/>
      <c r="V77" s="24" t="s">
        <v>17</v>
      </c>
      <c r="W77" s="9"/>
      <c r="X77" s="9"/>
    </row>
    <row r="78" spans="1:24" s="2" customFormat="1" ht="18" hidden="1" x14ac:dyDescent="0.35">
      <c r="A78" s="34"/>
      <c r="F78" s="36"/>
      <c r="G78" s="36"/>
      <c r="H78" s="36"/>
      <c r="I78" s="36"/>
      <c r="J78" s="36"/>
      <c r="M78" s="35"/>
      <c r="N78" s="48"/>
      <c r="O78" s="2">
        <f>SUM(O75:O77)</f>
        <v>1</v>
      </c>
      <c r="P78" s="9">
        <f>SUM(P75:P77)</f>
        <v>0</v>
      </c>
      <c r="Q78" s="27"/>
      <c r="R78" s="9"/>
      <c r="S78" s="9"/>
      <c r="T78" s="9"/>
      <c r="U78" s="9"/>
      <c r="V78" s="9"/>
      <c r="W78" s="9"/>
      <c r="X78" s="9"/>
    </row>
    <row r="79" spans="1:24" ht="9" customHeight="1" x14ac:dyDescent="0.3">
      <c r="A79" s="7"/>
      <c r="H79" s="15"/>
      <c r="I79" s="23"/>
      <c r="J79" s="16"/>
      <c r="M79" s="10"/>
      <c r="N79" s="32"/>
    </row>
    <row r="80" spans="1:24" ht="44.25" customHeight="1" x14ac:dyDescent="0.3">
      <c r="A80" s="7"/>
      <c r="B80" s="65" t="str">
        <f>IF(G59&gt;12,"","Maximale FBH-Oberfläche verwaltbar von jedem Modul, mit einer Temperaturdifferenz in einem angemessenen Verhältnis zu der Klasse der Wärmedämmung ausgewählt:")</f>
        <v/>
      </c>
      <c r="C80" s="65"/>
      <c r="D80" s="65"/>
      <c r="E80" s="65"/>
      <c r="F80" s="65"/>
      <c r="G80" s="65"/>
      <c r="H80" s="65"/>
      <c r="I80" s="52" t="str">
        <f>IF(G59&gt;12,"",IF(G58=0,"- -",IF(G59&lt;=12,IF(O75=1,E62*1000/Q75,IF(O76=1,E62*1000/Q76,IF(O77=1,E62*1000/Q77,"- -"))),"- - ")))</f>
        <v/>
      </c>
      <c r="J80" s="29" t="str">
        <f>IF(G59&gt;12,"","m2")</f>
        <v/>
      </c>
      <c r="M80" s="10"/>
      <c r="N80" s="50"/>
      <c r="Q80" s="27"/>
    </row>
    <row r="81" spans="1:24" ht="10.5" customHeight="1" x14ac:dyDescent="0.3">
      <c r="A81" s="17"/>
      <c r="B81" s="18"/>
      <c r="C81" s="18"/>
      <c r="D81" s="18"/>
      <c r="E81" s="18"/>
      <c r="F81" s="19"/>
      <c r="G81" s="18"/>
      <c r="H81" s="18"/>
      <c r="I81" s="19"/>
      <c r="J81" s="19"/>
      <c r="K81" s="18"/>
      <c r="L81" s="18"/>
      <c r="M81" s="20"/>
    </row>
    <row r="82" spans="1:24" ht="10.5" customHeight="1" x14ac:dyDescent="0.3"/>
    <row r="83" spans="1:24" ht="10.5" customHeight="1" x14ac:dyDescent="0.3">
      <c r="A83" s="3"/>
      <c r="B83" s="4"/>
      <c r="C83" s="4"/>
      <c r="D83" s="4"/>
      <c r="E83" s="4"/>
      <c r="F83" s="5"/>
      <c r="G83" s="4"/>
      <c r="H83" s="4"/>
      <c r="I83" s="5"/>
      <c r="J83" s="5"/>
      <c r="K83" s="4"/>
      <c r="L83" s="4"/>
      <c r="M83" s="6"/>
      <c r="Q83" s="53"/>
      <c r="R83" s="44"/>
      <c r="S83" s="44"/>
      <c r="T83" s="44"/>
      <c r="U83" s="44"/>
    </row>
    <row r="84" spans="1:24" ht="15.6" x14ac:dyDescent="0.3">
      <c r="A84" s="7"/>
      <c r="B84" s="8" t="s">
        <v>103</v>
      </c>
      <c r="G84" s="70" t="s">
        <v>33</v>
      </c>
      <c r="H84" s="70"/>
      <c r="I84" s="70"/>
      <c r="J84" s="70"/>
      <c r="M84" s="10"/>
      <c r="N84" s="47" t="s">
        <v>33</v>
      </c>
      <c r="O84" s="2">
        <f>IF(G84=N84,1,0)</f>
        <v>1</v>
      </c>
      <c r="P84" s="9" t="s">
        <v>15</v>
      </c>
      <c r="Q84" s="41">
        <v>6</v>
      </c>
      <c r="R84" s="44">
        <v>4.0999999999999996</v>
      </c>
      <c r="S84" s="44">
        <v>2284</v>
      </c>
      <c r="T84" s="44">
        <v>1770</v>
      </c>
      <c r="U84" s="44">
        <v>1511</v>
      </c>
      <c r="V84" s="45">
        <f>S84*$G96/860</f>
        <v>53.116279069767444</v>
      </c>
      <c r="W84" s="45">
        <f>T84*$G96/860</f>
        <v>41.162790697674417</v>
      </c>
      <c r="X84" s="45">
        <f>U84*$G96/860</f>
        <v>35.139534883720927</v>
      </c>
    </row>
    <row r="85" spans="1:24" s="2" customFormat="1" ht="15.6" hidden="1" x14ac:dyDescent="0.3">
      <c r="A85" s="34"/>
      <c r="B85" s="37"/>
      <c r="F85" s="9"/>
      <c r="G85" s="9"/>
      <c r="I85" s="9"/>
      <c r="J85" s="9"/>
      <c r="M85" s="35"/>
      <c r="N85" s="47" t="s">
        <v>34</v>
      </c>
      <c r="O85" s="2">
        <f>IF(G84=N85,1,0)</f>
        <v>0</v>
      </c>
      <c r="P85" s="9" t="s">
        <v>15</v>
      </c>
      <c r="Q85" s="41">
        <v>2.7</v>
      </c>
      <c r="R85" s="44">
        <v>5</v>
      </c>
      <c r="S85" s="44">
        <v>1363</v>
      </c>
      <c r="T85" s="44">
        <v>1060</v>
      </c>
      <c r="U85" s="44">
        <v>885</v>
      </c>
      <c r="V85" s="45">
        <f>S85*$G96/860</f>
        <v>31.697674418604652</v>
      </c>
      <c r="W85" s="45">
        <f>T85*$G96/860</f>
        <v>24.651162790697676</v>
      </c>
      <c r="X85" s="45">
        <f>U85*$G96/860</f>
        <v>20.581395348837209</v>
      </c>
    </row>
    <row r="86" spans="1:24" s="2" customFormat="1" ht="15.6" hidden="1" x14ac:dyDescent="0.3">
      <c r="A86" s="34"/>
      <c r="B86" s="37"/>
      <c r="F86" s="9"/>
      <c r="G86" s="9"/>
      <c r="I86" s="9"/>
      <c r="J86" s="9"/>
      <c r="M86" s="35"/>
      <c r="N86" s="47" t="s">
        <v>35</v>
      </c>
      <c r="O86" s="2">
        <f>IF(G84=N86,1,0)</f>
        <v>0</v>
      </c>
      <c r="P86" s="9" t="s">
        <v>15</v>
      </c>
      <c r="Q86" s="41">
        <v>3.8</v>
      </c>
      <c r="R86" s="44">
        <v>5</v>
      </c>
      <c r="S86" s="44">
        <v>1673</v>
      </c>
      <c r="T86" s="44">
        <v>1261</v>
      </c>
      <c r="U86" s="44">
        <v>1039</v>
      </c>
      <c r="V86" s="45">
        <f>S86*$G96/860</f>
        <v>38.906976744186046</v>
      </c>
      <c r="W86" s="45">
        <f>T86*$G96/860</f>
        <v>29.325581395348838</v>
      </c>
      <c r="X86" s="45">
        <f>U86*$G96/860</f>
        <v>24.162790697674417</v>
      </c>
    </row>
    <row r="87" spans="1:24" s="2" customFormat="1" ht="15.6" hidden="1" x14ac:dyDescent="0.3">
      <c r="A87" s="34"/>
      <c r="B87" s="37"/>
      <c r="F87" s="9"/>
      <c r="G87" s="9"/>
      <c r="I87" s="9"/>
      <c r="J87" s="9"/>
      <c r="M87" s="35"/>
      <c r="N87" s="47" t="s">
        <v>26</v>
      </c>
      <c r="O87" s="2">
        <f>IF(G84=N87,1,0)</f>
        <v>0</v>
      </c>
      <c r="P87" s="9" t="s">
        <v>15</v>
      </c>
      <c r="Q87" s="41">
        <v>4</v>
      </c>
      <c r="R87" s="44">
        <v>4.5</v>
      </c>
      <c r="S87" s="44">
        <v>1826</v>
      </c>
      <c r="T87" s="44">
        <v>1416</v>
      </c>
      <c r="U87" s="44">
        <v>1199</v>
      </c>
      <c r="V87" s="45">
        <f>S87*$G96/860</f>
        <v>42.465116279069768</v>
      </c>
      <c r="W87" s="45">
        <f>T87*$G96/860</f>
        <v>32.930232558139537</v>
      </c>
      <c r="X87" s="45">
        <f>U87*$G96/860</f>
        <v>27.88372093023256</v>
      </c>
    </row>
    <row r="88" spans="1:24" s="2" customFormat="1" ht="15.6" hidden="1" x14ac:dyDescent="0.3">
      <c r="A88" s="34"/>
      <c r="B88" s="37"/>
      <c r="F88" s="9"/>
      <c r="G88" s="9"/>
      <c r="I88" s="9"/>
      <c r="J88" s="9"/>
      <c r="M88" s="35"/>
      <c r="N88" s="47" t="s">
        <v>27</v>
      </c>
      <c r="O88" s="2">
        <f>IF(G84=N88,1,0)</f>
        <v>0</v>
      </c>
      <c r="P88" s="9" t="s">
        <v>15</v>
      </c>
      <c r="Q88" s="41">
        <v>5.5</v>
      </c>
      <c r="R88" s="44">
        <v>4.5</v>
      </c>
      <c r="S88" s="44">
        <v>1950</v>
      </c>
      <c r="T88" s="44">
        <v>1601</v>
      </c>
      <c r="U88" s="44">
        <v>1343</v>
      </c>
      <c r="V88" s="45">
        <f>S88*$G96/860</f>
        <v>45.348837209302324</v>
      </c>
      <c r="W88" s="45">
        <f t="shared" ref="W88:X88" si="12">T88*$G96/860</f>
        <v>37.232558139534881</v>
      </c>
      <c r="X88" s="45">
        <f t="shared" si="12"/>
        <v>31.232558139534884</v>
      </c>
    </row>
    <row r="89" spans="1:24" s="2" customFormat="1" ht="15.6" hidden="1" x14ac:dyDescent="0.3">
      <c r="A89" s="34"/>
      <c r="B89" s="37"/>
      <c r="F89" s="9"/>
      <c r="G89" s="9"/>
      <c r="I89" s="9"/>
      <c r="J89" s="9"/>
      <c r="M89" s="35"/>
      <c r="N89" s="47" t="s">
        <v>28</v>
      </c>
      <c r="O89" s="2">
        <f>IF(G84=N89,1,0)</f>
        <v>0</v>
      </c>
      <c r="P89" s="9" t="s">
        <v>15</v>
      </c>
      <c r="Q89" s="41">
        <v>2</v>
      </c>
      <c r="R89" s="44">
        <v>5</v>
      </c>
      <c r="S89" s="44">
        <v>1010</v>
      </c>
      <c r="T89" s="44">
        <v>880</v>
      </c>
      <c r="U89" s="44">
        <v>714</v>
      </c>
      <c r="V89" s="45">
        <f>S89*$G96/860</f>
        <v>23.488372093023255</v>
      </c>
      <c r="W89" s="45">
        <f t="shared" ref="W89:X89" si="13">T89*$G96/860</f>
        <v>20.465116279069768</v>
      </c>
      <c r="X89" s="45">
        <f t="shared" si="13"/>
        <v>16.604651162790699</v>
      </c>
    </row>
    <row r="90" spans="1:24" s="2" customFormat="1" ht="15.6" hidden="1" x14ac:dyDescent="0.3">
      <c r="A90" s="34"/>
      <c r="B90" s="37"/>
      <c r="F90" s="9"/>
      <c r="G90" s="9"/>
      <c r="I90" s="9"/>
      <c r="J90" s="9"/>
      <c r="M90" s="35"/>
      <c r="N90" s="47" t="s">
        <v>29</v>
      </c>
      <c r="O90" s="2">
        <f>IF(G84=N90,1,0)</f>
        <v>0</v>
      </c>
      <c r="P90" s="9" t="s">
        <v>15</v>
      </c>
      <c r="Q90" s="41">
        <v>2.4</v>
      </c>
      <c r="R90" s="44">
        <v>5</v>
      </c>
      <c r="S90" s="44">
        <v>1212</v>
      </c>
      <c r="T90" s="44">
        <v>989</v>
      </c>
      <c r="U90" s="44">
        <v>829</v>
      </c>
      <c r="V90" s="45">
        <f>S90*$G96/860</f>
        <v>28.186046511627907</v>
      </c>
      <c r="W90" s="45">
        <f t="shared" ref="W90:X90" si="14">T90*$G96/860</f>
        <v>23</v>
      </c>
      <c r="X90" s="45">
        <f t="shared" si="14"/>
        <v>19.279069767441861</v>
      </c>
    </row>
    <row r="91" spans="1:24" s="2" customFormat="1" ht="15.6" hidden="1" x14ac:dyDescent="0.3">
      <c r="A91" s="34"/>
      <c r="B91" s="37"/>
      <c r="F91" s="9"/>
      <c r="G91" s="9"/>
      <c r="I91" s="9"/>
      <c r="J91" s="9"/>
      <c r="M91" s="35"/>
      <c r="N91" s="47" t="s">
        <v>30</v>
      </c>
      <c r="O91" s="2">
        <f>IF(G84=N91,1,0)</f>
        <v>0</v>
      </c>
      <c r="P91" s="9" t="s">
        <v>15</v>
      </c>
      <c r="Q91" s="41">
        <v>3.1</v>
      </c>
      <c r="R91" s="44">
        <v>5</v>
      </c>
      <c r="S91" s="44">
        <v>1497</v>
      </c>
      <c r="T91" s="44">
        <v>1143</v>
      </c>
      <c r="U91" s="44">
        <v>949</v>
      </c>
      <c r="V91" s="45">
        <f>S91*$G96/860</f>
        <v>34.813953488372093</v>
      </c>
      <c r="W91" s="45">
        <f t="shared" ref="W91:X91" si="15">T91*$G96/860</f>
        <v>26.581395348837209</v>
      </c>
      <c r="X91" s="45">
        <f t="shared" si="15"/>
        <v>22.069767441860463</v>
      </c>
    </row>
    <row r="92" spans="1:24" s="2" customFormat="1" ht="15.6" hidden="1" x14ac:dyDescent="0.3">
      <c r="A92" s="34"/>
      <c r="B92" s="37"/>
      <c r="F92" s="9"/>
      <c r="G92" s="9"/>
      <c r="I92" s="9"/>
      <c r="J92" s="9"/>
      <c r="M92" s="35"/>
      <c r="N92" s="47" t="s">
        <v>31</v>
      </c>
      <c r="O92" s="2">
        <f>IF(G84=N92,1,0)</f>
        <v>0</v>
      </c>
      <c r="P92" s="9" t="s">
        <v>15</v>
      </c>
      <c r="Q92" s="41">
        <v>1.7</v>
      </c>
      <c r="R92" s="44">
        <v>5</v>
      </c>
      <c r="S92" s="44">
        <v>858</v>
      </c>
      <c r="T92" s="44">
        <v>781</v>
      </c>
      <c r="U92" s="44">
        <v>607</v>
      </c>
      <c r="V92" s="45">
        <f>S92*$G96/860</f>
        <v>19.953488372093023</v>
      </c>
      <c r="W92" s="45">
        <f t="shared" ref="W92:X92" si="16">T92*$G96/860</f>
        <v>18.162790697674417</v>
      </c>
      <c r="X92" s="45">
        <f t="shared" si="16"/>
        <v>14.116279069767442</v>
      </c>
    </row>
    <row r="93" spans="1:24" s="2" customFormat="1" ht="15.6" hidden="1" x14ac:dyDescent="0.3">
      <c r="A93" s="34"/>
      <c r="B93" s="37"/>
      <c r="F93" s="9"/>
      <c r="G93" s="9"/>
      <c r="I93" s="9"/>
      <c r="J93" s="9"/>
      <c r="M93" s="35"/>
      <c r="N93" s="47" t="s">
        <v>32</v>
      </c>
      <c r="O93" s="2">
        <f>IF(G84=N93,1,0)</f>
        <v>0</v>
      </c>
      <c r="P93" s="9" t="s">
        <v>15</v>
      </c>
      <c r="Q93" s="41">
        <v>1.9</v>
      </c>
      <c r="R93" s="44">
        <v>5</v>
      </c>
      <c r="S93" s="44">
        <v>1000</v>
      </c>
      <c r="T93" s="44">
        <v>850</v>
      </c>
      <c r="U93" s="44">
        <v>678</v>
      </c>
      <c r="V93" s="45">
        <f>S93*$G96/860</f>
        <v>23.255813953488371</v>
      </c>
      <c r="W93" s="45">
        <f t="shared" ref="W93:X93" si="17">T93*$G96/860</f>
        <v>19.767441860465116</v>
      </c>
      <c r="X93" s="45">
        <f t="shared" si="17"/>
        <v>15.767441860465116</v>
      </c>
    </row>
    <row r="94" spans="1:24" ht="8.25" customHeight="1" x14ac:dyDescent="0.35">
      <c r="A94" s="7"/>
      <c r="F94" s="33"/>
      <c r="G94" s="33"/>
      <c r="H94" s="33"/>
      <c r="I94" s="33"/>
      <c r="J94" s="33"/>
      <c r="M94" s="10"/>
      <c r="N94" s="48"/>
    </row>
    <row r="95" spans="1:24" x14ac:dyDescent="0.3">
      <c r="A95" s="7"/>
      <c r="B95" t="s">
        <v>104</v>
      </c>
      <c r="G95" s="61">
        <v>0</v>
      </c>
      <c r="H95" s="77" t="str">
        <f>IF(G21+G58+G95&gt;3,"Max. Anzahl von Modulen in Gesamt = 3","")</f>
        <v/>
      </c>
      <c r="I95" s="77"/>
      <c r="J95" s="77"/>
      <c r="K95" s="77"/>
      <c r="L95" s="77"/>
      <c r="M95" s="10"/>
      <c r="O95" s="2">
        <v>0</v>
      </c>
    </row>
    <row r="96" spans="1:24" x14ac:dyDescent="0.3">
      <c r="A96" s="7"/>
      <c r="B96" t="s">
        <v>105</v>
      </c>
      <c r="G96" s="61">
        <v>20</v>
      </c>
      <c r="H96" t="s">
        <v>1</v>
      </c>
      <c r="M96" s="10"/>
      <c r="N96" s="49"/>
      <c r="O96" s="2">
        <v>1</v>
      </c>
    </row>
    <row r="97" spans="1:24" ht="15.6" x14ac:dyDescent="0.3">
      <c r="A97" s="7"/>
      <c r="B97" t="s">
        <v>106</v>
      </c>
      <c r="G97" s="61">
        <v>1000</v>
      </c>
      <c r="H97" s="22" t="s">
        <v>2</v>
      </c>
      <c r="I97" s="8"/>
      <c r="J97" s="8"/>
      <c r="K97" s="51"/>
      <c r="L97" s="25"/>
      <c r="M97" s="10"/>
      <c r="N97" s="49"/>
      <c r="O97" s="2">
        <v>2</v>
      </c>
      <c r="P97" s="54"/>
      <c r="Q97" s="11"/>
      <c r="R97" s="11"/>
      <c r="S97" s="11"/>
      <c r="T97" s="11"/>
      <c r="U97" s="11"/>
      <c r="V97" s="11"/>
      <c r="W97" s="11"/>
      <c r="X97" s="11"/>
    </row>
    <row r="98" spans="1:24" x14ac:dyDescent="0.3">
      <c r="A98" s="7"/>
      <c r="L98" s="12" t="s">
        <v>108</v>
      </c>
      <c r="M98" s="10"/>
      <c r="N98" s="49"/>
      <c r="O98" s="2">
        <v>3</v>
      </c>
    </row>
    <row r="99" spans="1:24" ht="15.6" x14ac:dyDescent="0.3">
      <c r="A99" s="7"/>
      <c r="B99" s="13" t="s">
        <v>107</v>
      </c>
      <c r="E99" s="30" t="str">
        <f>IF(G95=0,"- -",G97*G96/860)</f>
        <v>- -</v>
      </c>
      <c r="F99" s="21" t="s">
        <v>0</v>
      </c>
      <c r="H99" s="58" t="s">
        <v>109</v>
      </c>
      <c r="I99" s="56" t="str">
        <f>IF(G95=0,"- -",IF(AND(O84=1,O101=1),V84,IF(AND(O84=1,O102=1),W84,IF(AND(O84=1,O103=1),X84,IF(AND(O85=1,O101=1),V85,IF(AND(O85=1,O102=1),W85,IF(AND(O85=1,O103=1),X85,IF(AND(O86=1,O101=1),V86,IF(AND(O86=1,O102=1),W86,IF(AND(O86=1,O103=1),X86,IF(AND(O87=1,O101=1),V87,IF(AND(O87=1,O102=1),W87,IF(AND(O87=1,O103=1),X87,IF(AND(O88=1,O101=1),V88,IF(AND(O88=1,O102=1),W88,IF(AND(O88=1,O103=1),X88,IF(AND(O89=1,O101=1),V89,IF(AND(O89=1,O102=1),W89,IF(AND(O89=1,O103=1),X89,IF(AND(O90=1,O101=1),V90,IF(AND(O90=1,O102=1),W90,IF(AND(O90=1,O103=1),X90,IF(AND(O91=1,O101=1),V91,IF(AND(O91=1,O102=1),W91,IF(AND(O91=1,O103=1),X91,IF(AND(O92=1,O101=1),V92,IF(AND(O92=1,O102=1),W92,IF(AND(O92=1,O103=1),X92,IF(AND(O93=1,O101=1),V93,IF(AND(O93=1,O102=1),W93,IF(AND(O93=1,O103=1),X93,"Errore")))))))))))))))))))))))))))))))</f>
        <v>- -</v>
      </c>
      <c r="J99" s="59" t="s">
        <v>18</v>
      </c>
      <c r="K99" s="30" t="str">
        <f>IF(G95=0,"- -",G95*E99)</f>
        <v>- -</v>
      </c>
      <c r="L99" s="21" t="s">
        <v>0</v>
      </c>
      <c r="M99" s="10"/>
      <c r="N99" s="60" t="e">
        <f>E99/I99-1</f>
        <v>#VALUE!</v>
      </c>
      <c r="P99" s="28"/>
      <c r="Q99" s="24"/>
      <c r="S99" s="54" t="s">
        <v>13</v>
      </c>
      <c r="T99" s="54" t="s">
        <v>14</v>
      </c>
      <c r="U99" s="54"/>
    </row>
    <row r="100" spans="1:24" x14ac:dyDescent="0.3">
      <c r="A100" s="7"/>
      <c r="M100" s="10"/>
      <c r="P100" s="54" t="s">
        <v>11</v>
      </c>
      <c r="Q100" s="54" t="s">
        <v>10</v>
      </c>
      <c r="R100" s="54" t="s">
        <v>9</v>
      </c>
      <c r="S100" s="54" t="s">
        <v>12</v>
      </c>
      <c r="T100" s="54" t="s">
        <v>12</v>
      </c>
      <c r="U100" s="54"/>
      <c r="V100" s="54" t="s">
        <v>7</v>
      </c>
      <c r="W100" s="54" t="s">
        <v>8</v>
      </c>
      <c r="X100" s="54"/>
    </row>
    <row r="101" spans="1:24" x14ac:dyDescent="0.3">
      <c r="A101" s="7"/>
      <c r="B101" t="s">
        <v>112</v>
      </c>
      <c r="G101" s="68" t="s">
        <v>3</v>
      </c>
      <c r="H101" s="68"/>
      <c r="I101" s="68"/>
      <c r="J101" s="68"/>
      <c r="M101" s="10"/>
      <c r="N101" s="2" t="s">
        <v>6</v>
      </c>
      <c r="O101" s="2">
        <f>IF(N101=G101,1,0)</f>
        <v>0</v>
      </c>
      <c r="P101" s="9" t="str">
        <f>IF(O101=1,1,"")</f>
        <v/>
      </c>
      <c r="Q101" s="9" t="str">
        <f>IF(O101=1,IF(G97&gt;=R101,2,1),"")</f>
        <v/>
      </c>
      <c r="R101" s="53">
        <v>1400</v>
      </c>
      <c r="S101" s="53">
        <v>-2.2857099999999998E-3</v>
      </c>
      <c r="T101" s="53">
        <v>10.8</v>
      </c>
      <c r="V101" s="53">
        <v>7.6</v>
      </c>
      <c r="W101" s="9">
        <f>G97*S101+T101</f>
        <v>8.5142900000000008</v>
      </c>
    </row>
    <row r="102" spans="1:24" s="2" customFormat="1" hidden="1" x14ac:dyDescent="0.3">
      <c r="A102" s="34"/>
      <c r="F102" s="9"/>
      <c r="G102" s="9"/>
      <c r="I102" s="9"/>
      <c r="J102" s="9"/>
      <c r="M102" s="35"/>
      <c r="N102" s="2" t="s">
        <v>4</v>
      </c>
      <c r="O102" s="2">
        <f>IF(N102=G101,1,0)</f>
        <v>0</v>
      </c>
      <c r="P102" s="9" t="str">
        <f>IF(O102=1,2,"")</f>
        <v/>
      </c>
      <c r="Q102" s="9" t="str">
        <f>IF(O102=1,IF(G97&gt;=R102,2,1),"")</f>
        <v/>
      </c>
      <c r="R102" s="53">
        <v>800</v>
      </c>
      <c r="S102" s="53">
        <v>-2.23077E-3</v>
      </c>
      <c r="T102" s="53">
        <v>8.9350000000000005</v>
      </c>
      <c r="U102" s="9"/>
      <c r="V102" s="53">
        <v>7.15</v>
      </c>
      <c r="W102" s="9">
        <f>G97*S102+T102</f>
        <v>6.7042300000000008</v>
      </c>
      <c r="X102" s="9"/>
    </row>
    <row r="103" spans="1:24" s="2" customFormat="1" hidden="1" x14ac:dyDescent="0.3">
      <c r="A103" s="34"/>
      <c r="F103" s="9"/>
      <c r="G103" s="9"/>
      <c r="I103" s="9"/>
      <c r="J103" s="9"/>
      <c r="M103" s="35"/>
      <c r="N103" s="2" t="s">
        <v>3</v>
      </c>
      <c r="O103" s="2">
        <f>IF(N103=G101,1,0)</f>
        <v>1</v>
      </c>
      <c r="P103" s="9">
        <f>IF(O103=1,3,"")</f>
        <v>3</v>
      </c>
      <c r="Q103" s="9">
        <f>IF(O103=1,IF(G97&gt;=R103,2,1),"")</f>
        <v>2</v>
      </c>
      <c r="R103" s="53">
        <v>800</v>
      </c>
      <c r="S103" s="53">
        <v>-2.1538400000000002E-3</v>
      </c>
      <c r="T103" s="53">
        <v>8</v>
      </c>
      <c r="U103" s="9"/>
      <c r="V103" s="53">
        <v>6.3</v>
      </c>
      <c r="W103" s="9">
        <f>G97*S103+T103</f>
        <v>5.8461599999999994</v>
      </c>
      <c r="X103" s="9"/>
    </row>
    <row r="104" spans="1:24" s="2" customFormat="1" ht="18" hidden="1" x14ac:dyDescent="0.35">
      <c r="A104" s="34"/>
      <c r="F104" s="36"/>
      <c r="G104" s="36"/>
      <c r="H104" s="36"/>
      <c r="I104" s="36"/>
      <c r="J104" s="36"/>
      <c r="M104" s="35"/>
      <c r="N104" s="48"/>
      <c r="O104" s="2">
        <f>SUM(O101:O103)</f>
        <v>1</v>
      </c>
      <c r="P104" s="9">
        <f>SUM(P101:P103)</f>
        <v>3</v>
      </c>
      <c r="Q104" s="9">
        <f>SUM(Q101:Q103)</f>
        <v>2</v>
      </c>
      <c r="R104" s="9"/>
      <c r="S104" s="9"/>
      <c r="T104" s="9"/>
      <c r="U104" s="9"/>
      <c r="V104" s="9"/>
      <c r="W104" s="9"/>
      <c r="X104" s="9"/>
    </row>
    <row r="105" spans="1:24" ht="8.25" customHeight="1" x14ac:dyDescent="0.3">
      <c r="A105" s="7"/>
      <c r="M105" s="10"/>
    </row>
    <row r="106" spans="1:24" x14ac:dyDescent="0.3">
      <c r="A106" s="7"/>
      <c r="H106" s="14" t="s">
        <v>73</v>
      </c>
      <c r="I106" s="26" t="str">
        <f>IF(G95=0,"- -",IF(O104=1,IF(AND(P104=1,Q104=1),V101,IF(AND(P104=1,Q104=2),W101,IF(AND(P104=2,Q104=1),V102,IF(AND(P104=2,Q104=2),W102,IF(AND(P104=3,Q104=1),V103,IF(AND(P104=3,Q104=2),W103,"Errore")))))),"- -"))</f>
        <v>- -</v>
      </c>
      <c r="J106" t="s">
        <v>5</v>
      </c>
      <c r="M106" s="10"/>
    </row>
    <row r="107" spans="1:24" x14ac:dyDescent="0.3">
      <c r="A107" s="7"/>
      <c r="H107" s="14" t="s">
        <v>74</v>
      </c>
      <c r="I107" s="26" t="str">
        <f>IF(G95=0,"- -",IF(O104=1,IF(S107&lt;0.2,0.2,S107),"- -"))</f>
        <v>- -</v>
      </c>
      <c r="J107" t="s">
        <v>5</v>
      </c>
      <c r="M107" s="10"/>
      <c r="P107" s="9" t="s">
        <v>15</v>
      </c>
      <c r="Q107" s="24">
        <f>IF(O84=1,Q84,IF(O85=1,Q85,IF(O86=1,Q86,IF(O87=1,Q87,IF(O88=1,Q88,IF(O89=1,Q89,IF(O90=1,Q90,IF(O91=1,Q91,IF(O91=1,Q91,IF(O92=1,Q92,IF(O93=1,Q93,"Errore!")))))))))))</f>
        <v>6</v>
      </c>
      <c r="R107" s="28" t="s">
        <v>16</v>
      </c>
      <c r="S107" s="9">
        <f>(G97/1000/Q107)^2*10.198</f>
        <v>0.28327777777777779</v>
      </c>
    </row>
    <row r="108" spans="1:24" ht="15.6" x14ac:dyDescent="0.3">
      <c r="A108" s="7"/>
      <c r="H108" s="15" t="s">
        <v>113</v>
      </c>
      <c r="I108" s="23" t="str">
        <f>IF(G95=0,"- -",IF(O104=1,I106-I107,"- -"))</f>
        <v>- -</v>
      </c>
      <c r="J108" s="16" t="s">
        <v>5</v>
      </c>
      <c r="K108" s="46"/>
      <c r="M108" s="10"/>
      <c r="N108" s="32"/>
    </row>
    <row r="109" spans="1:24" ht="9" customHeight="1" x14ac:dyDescent="0.3">
      <c r="A109" s="7"/>
      <c r="H109" s="15"/>
      <c r="I109" s="23"/>
      <c r="J109" s="16"/>
      <c r="M109" s="10"/>
      <c r="N109" s="32"/>
    </row>
    <row r="110" spans="1:24" ht="15.6" x14ac:dyDescent="0.3">
      <c r="A110" s="7"/>
      <c r="B110" s="13" t="str">
        <f>IF(G96&lt;=12,"Rechnung für FBH:","Rechnung für FBH nicht verfügbar wenn Δt &gt; 12 K")</f>
        <v>Rechnung für FBH nicht verfügbar wenn Δt &gt; 12 K</v>
      </c>
      <c r="H110" s="15"/>
      <c r="I110" s="23"/>
      <c r="J110" s="16"/>
      <c r="M110" s="10"/>
      <c r="N110" s="32"/>
      <c r="S110" s="54" t="s">
        <v>19</v>
      </c>
    </row>
    <row r="111" spans="1:24" ht="9" customHeight="1" x14ac:dyDescent="0.3">
      <c r="A111" s="7"/>
      <c r="H111" s="15"/>
      <c r="I111" s="23"/>
      <c r="J111" s="16"/>
      <c r="M111" s="10"/>
      <c r="N111" s="32"/>
    </row>
    <row r="112" spans="1:24" x14ac:dyDescent="0.3">
      <c r="A112" s="7"/>
      <c r="B112" t="s">
        <v>114</v>
      </c>
      <c r="F112" s="14"/>
      <c r="G112" s="62" t="s">
        <v>24</v>
      </c>
      <c r="I112" s="38" t="str">
        <f>IF(G96&gt;12,"","benutzen Δt =")</f>
        <v/>
      </c>
      <c r="J112" s="16" t="str">
        <f>IF(G96&gt;12,"",IF(G112=N112,P112,IF(G112=N113,P113,IF(G112=N114,P114,""))))</f>
        <v/>
      </c>
      <c r="M112" s="10"/>
      <c r="N112" s="24" t="s">
        <v>23</v>
      </c>
      <c r="O112" s="2">
        <f>IF(N112=G112,1,0)</f>
        <v>0</v>
      </c>
      <c r="P112" s="9" t="s">
        <v>20</v>
      </c>
      <c r="Q112" s="31">
        <f>T112*S112</f>
        <v>34.375</v>
      </c>
      <c r="R112" s="24" t="s">
        <v>17</v>
      </c>
      <c r="S112" s="53">
        <v>1.375</v>
      </c>
      <c r="T112" s="42">
        <v>25</v>
      </c>
      <c r="U112" s="27"/>
      <c r="V112" s="24" t="s">
        <v>17</v>
      </c>
    </row>
    <row r="113" spans="1:24" s="2" customFormat="1" ht="15.6" hidden="1" x14ac:dyDescent="0.3">
      <c r="A113" s="34"/>
      <c r="F113" s="27"/>
      <c r="G113" s="39"/>
      <c r="H113" s="40"/>
      <c r="I113" s="39"/>
      <c r="J113" s="32"/>
      <c r="M113" s="35"/>
      <c r="N113" s="24" t="s">
        <v>24</v>
      </c>
      <c r="O113" s="2">
        <f>IF(N113=G112,1,0)</f>
        <v>1</v>
      </c>
      <c r="P113" s="9" t="s">
        <v>21</v>
      </c>
      <c r="Q113" s="31">
        <f>T113*S113</f>
        <v>110</v>
      </c>
      <c r="R113" s="24" t="s">
        <v>17</v>
      </c>
      <c r="S113" s="53">
        <v>1.375</v>
      </c>
      <c r="T113" s="43">
        <v>80</v>
      </c>
      <c r="U113" s="31"/>
      <c r="V113" s="24" t="s">
        <v>17</v>
      </c>
      <c r="W113" s="9"/>
      <c r="X113" s="9"/>
    </row>
    <row r="114" spans="1:24" s="2" customFormat="1" ht="15.6" hidden="1" x14ac:dyDescent="0.3">
      <c r="A114" s="34"/>
      <c r="F114" s="27"/>
      <c r="G114" s="39"/>
      <c r="H114" s="40"/>
      <c r="I114" s="39"/>
      <c r="J114" s="32"/>
      <c r="M114" s="35"/>
      <c r="N114" s="24" t="s">
        <v>25</v>
      </c>
      <c r="O114" s="2">
        <f>IF(N114=G112,1,0)</f>
        <v>0</v>
      </c>
      <c r="P114" s="9" t="s">
        <v>22</v>
      </c>
      <c r="Q114" s="31">
        <f>T114*S114</f>
        <v>192.5</v>
      </c>
      <c r="R114" s="24" t="s">
        <v>17</v>
      </c>
      <c r="S114" s="53">
        <v>1.375</v>
      </c>
      <c r="T114" s="42">
        <v>140</v>
      </c>
      <c r="U114" s="27"/>
      <c r="V114" s="24" t="s">
        <v>17</v>
      </c>
      <c r="W114" s="9"/>
      <c r="X114" s="9"/>
    </row>
    <row r="115" spans="1:24" s="2" customFormat="1" ht="18" hidden="1" x14ac:dyDescent="0.35">
      <c r="A115" s="34"/>
      <c r="F115" s="36"/>
      <c r="G115" s="36"/>
      <c r="H115" s="36"/>
      <c r="I115" s="36"/>
      <c r="J115" s="36"/>
      <c r="M115" s="35"/>
      <c r="N115" s="48"/>
      <c r="O115" s="2">
        <f>SUM(O112:O114)</f>
        <v>1</v>
      </c>
      <c r="P115" s="9">
        <f>SUM(P112:P114)</f>
        <v>0</v>
      </c>
      <c r="Q115" s="27"/>
      <c r="R115" s="9"/>
      <c r="S115" s="9"/>
      <c r="T115" s="9"/>
      <c r="U115" s="9"/>
      <c r="V115" s="9"/>
      <c r="W115" s="9"/>
      <c r="X115" s="9"/>
    </row>
    <row r="116" spans="1:24" ht="9" customHeight="1" x14ac:dyDescent="0.3">
      <c r="A116" s="7"/>
      <c r="H116" s="15"/>
      <c r="I116" s="23"/>
      <c r="J116" s="16"/>
      <c r="M116" s="10"/>
      <c r="N116" s="32"/>
    </row>
    <row r="117" spans="1:24" ht="44.25" customHeight="1" x14ac:dyDescent="0.3">
      <c r="A117" s="7"/>
      <c r="B117" s="65" t="str">
        <f>IF(G96&gt;12,"","Maximale FBH-Oberfläche verwaltbar von jedem Modul, mit einer Temperaturdifferenz in einem angemessenen Verhältnis zu der Klasse der Wärmedämmung ausgewählt:")</f>
        <v/>
      </c>
      <c r="C117" s="65"/>
      <c r="D117" s="65"/>
      <c r="E117" s="65"/>
      <c r="F117" s="65"/>
      <c r="G117" s="65"/>
      <c r="H117" s="65"/>
      <c r="I117" s="52" t="str">
        <f>IF(G96&gt;12,"",IF(G95=0,"- -",IF(G96&lt;=12,IF(O112=1,E99*1000/Q112,IF(O113=1,E99*1000/Q113,IF(O114=1,E99*1000/Q114,"- -"))),"- - ")))</f>
        <v/>
      </c>
      <c r="J117" s="29" t="str">
        <f>IF(G96&gt;12,"","m2")</f>
        <v/>
      </c>
      <c r="M117" s="10"/>
      <c r="N117" s="50"/>
      <c r="Q117" s="27"/>
    </row>
    <row r="118" spans="1:24" ht="10.5" customHeight="1" x14ac:dyDescent="0.3">
      <c r="A118" s="17"/>
      <c r="B118" s="18"/>
      <c r="C118" s="18"/>
      <c r="D118" s="18"/>
      <c r="E118" s="18"/>
      <c r="F118" s="19"/>
      <c r="G118" s="18"/>
      <c r="H118" s="18"/>
      <c r="I118" s="19"/>
      <c r="J118" s="19"/>
      <c r="K118" s="18"/>
      <c r="L118" s="18"/>
      <c r="M118" s="20"/>
    </row>
    <row r="119" spans="1:24" ht="10.5" customHeight="1" x14ac:dyDescent="0.3"/>
    <row r="120" spans="1:24" ht="10.5" customHeight="1" x14ac:dyDescent="0.3">
      <c r="A120" s="3"/>
      <c r="B120" s="4"/>
      <c r="C120" s="4"/>
      <c r="D120" s="4"/>
      <c r="E120" s="4"/>
      <c r="F120" s="5"/>
      <c r="G120" s="4"/>
      <c r="H120" s="4"/>
      <c r="I120" s="5"/>
      <c r="J120" s="5"/>
      <c r="K120" s="4"/>
      <c r="L120" s="4"/>
      <c r="M120" s="6"/>
    </row>
    <row r="121" spans="1:24" ht="18.75" customHeight="1" x14ac:dyDescent="0.3">
      <c r="A121" s="7"/>
      <c r="B121" s="63" t="s">
        <v>61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"/>
      <c r="N121" s="32"/>
    </row>
    <row r="122" spans="1:24" ht="30" customHeight="1" x14ac:dyDescent="0.3">
      <c r="A122" s="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10"/>
      <c r="N122" s="32"/>
    </row>
    <row r="123" spans="1:24" ht="30" customHeight="1" x14ac:dyDescent="0.3">
      <c r="A123" s="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10"/>
      <c r="N123" s="32"/>
    </row>
    <row r="124" spans="1:24" ht="30" customHeight="1" x14ac:dyDescent="0.3">
      <c r="A124" s="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10"/>
      <c r="N124" s="32"/>
    </row>
    <row r="125" spans="1:24" ht="10.5" customHeight="1" x14ac:dyDescent="0.3">
      <c r="A125" s="17"/>
      <c r="B125" s="18"/>
      <c r="C125" s="18"/>
      <c r="D125" s="18"/>
      <c r="E125" s="18"/>
      <c r="F125" s="19"/>
      <c r="G125" s="18"/>
      <c r="H125" s="18"/>
      <c r="I125" s="19"/>
      <c r="J125" s="19"/>
      <c r="K125" s="18"/>
      <c r="L125" s="18"/>
      <c r="M125" s="20"/>
    </row>
  </sheetData>
  <sheetProtection algorithmName="SHA-512" hashValue="GMDZqvwCAP0bxNTORjgyR0pYe0uCrWU7h+CvgoPn41P7DXTYIgFx0OSriM+77HvY04bABIctD3ZD6yQPptta5Q==" saltValue="C///WzjcVlXixTc1dpNYCg==" spinCount="100000" sheet="1" objects="1" scenarios="1" selectLockedCells="1"/>
  <dataConsolidate/>
  <mergeCells count="29">
    <mergeCell ref="B1:L1"/>
    <mergeCell ref="S5:U5"/>
    <mergeCell ref="V5:X5"/>
    <mergeCell ref="S6:U6"/>
    <mergeCell ref="V6:X6"/>
    <mergeCell ref="B2:L2"/>
    <mergeCell ref="W7:W8"/>
    <mergeCell ref="X7:X8"/>
    <mergeCell ref="G10:J10"/>
    <mergeCell ref="H21:L21"/>
    <mergeCell ref="G27:J27"/>
    <mergeCell ref="R7:R8"/>
    <mergeCell ref="S7:S8"/>
    <mergeCell ref="T7:T8"/>
    <mergeCell ref="U7:U8"/>
    <mergeCell ref="V7:V8"/>
    <mergeCell ref="B43:H43"/>
    <mergeCell ref="B123:L123"/>
    <mergeCell ref="B124:L124"/>
    <mergeCell ref="G47:J47"/>
    <mergeCell ref="H58:L58"/>
    <mergeCell ref="G64:J64"/>
    <mergeCell ref="B80:H80"/>
    <mergeCell ref="G84:J84"/>
    <mergeCell ref="H95:L95"/>
    <mergeCell ref="G101:J101"/>
    <mergeCell ref="B117:H117"/>
    <mergeCell ref="C121:L121"/>
    <mergeCell ref="B122:L122"/>
  </mergeCells>
  <conditionalFormatting sqref="I34">
    <cfRule type="cellIs" dxfId="9" priority="10" operator="lessThan">
      <formula>0.5</formula>
    </cfRule>
  </conditionalFormatting>
  <conditionalFormatting sqref="K5">
    <cfRule type="cellIs" dxfId="8" priority="9" operator="greaterThan">
      <formula>50</formula>
    </cfRule>
  </conditionalFormatting>
  <conditionalFormatting sqref="I71">
    <cfRule type="cellIs" dxfId="7" priority="8" operator="lessThan">
      <formula>0.5</formula>
    </cfRule>
  </conditionalFormatting>
  <conditionalFormatting sqref="I108">
    <cfRule type="cellIs" dxfId="6" priority="7" operator="lessThan">
      <formula>0.5</formula>
    </cfRule>
  </conditionalFormatting>
  <conditionalFormatting sqref="E25:F25">
    <cfRule type="expression" dxfId="5" priority="5" stopIfTrue="1">
      <formula>$N$25&gt;=0.1</formula>
    </cfRule>
    <cfRule type="expression" dxfId="4" priority="6">
      <formula>$N$25&gt;0</formula>
    </cfRule>
  </conditionalFormatting>
  <conditionalFormatting sqref="E62:F62">
    <cfRule type="expression" dxfId="3" priority="3" stopIfTrue="1">
      <formula>$N$62&gt;=0.1</formula>
    </cfRule>
    <cfRule type="expression" dxfId="2" priority="4">
      <formula>$N$62&gt;0</formula>
    </cfRule>
  </conditionalFormatting>
  <conditionalFormatting sqref="E99:F99">
    <cfRule type="expression" dxfId="1" priority="1" stopIfTrue="1">
      <formula>$N$99&gt;=0.1</formula>
    </cfRule>
    <cfRule type="expression" dxfId="0" priority="2">
      <formula>$N$99&gt;0</formula>
    </cfRule>
  </conditionalFormatting>
  <dataValidations count="4">
    <dataValidation type="list" allowBlank="1" showInputMessage="1" showErrorMessage="1" sqref="G38 G112 G75" xr:uid="{00000000-0002-0000-0300-000000000000}">
      <formula1>$N$38:$N$40</formula1>
    </dataValidation>
    <dataValidation type="list" allowBlank="1" showInputMessage="1" showErrorMessage="1" promptTitle="Scegliere un circolatore" sqref="G27:J27 G101:J101 G64:J64" xr:uid="{00000000-0002-0000-0300-000001000000}">
      <formula1>$N$27:$N$29</formula1>
    </dataValidation>
    <dataValidation type="list" allowBlank="1" showErrorMessage="1" sqref="G10:J10 G47:J47 G84:J84" xr:uid="{00000000-0002-0000-0300-000002000000}">
      <formula1>N10:N19</formula1>
    </dataValidation>
    <dataValidation type="list" allowBlank="1" showInputMessage="1" showErrorMessage="1" sqref="G21 G95 G58" xr:uid="{00000000-0002-0000-0300-000003000000}">
      <formula1>$O$21:$O$24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IT</vt:lpstr>
      <vt:lpstr>EN</vt:lpstr>
      <vt:lpstr>FR</vt:lpstr>
      <vt:lpstr>DE</vt:lpstr>
      <vt:lpstr>DE!Area_stampa</vt:lpstr>
      <vt:lpstr>EN!Area_stampa</vt:lpstr>
      <vt:lpstr>FR!Area_stampa</vt:lpstr>
      <vt:lpstr>IT!Area_stampa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Merlo - BRV</dc:creator>
  <cp:lastModifiedBy>G3   840</cp:lastModifiedBy>
  <cp:lastPrinted>2015-06-29T09:41:58Z</cp:lastPrinted>
  <dcterms:created xsi:type="dcterms:W3CDTF">2015-06-15T15:19:17Z</dcterms:created>
  <dcterms:modified xsi:type="dcterms:W3CDTF">2019-04-06T09:03:50Z</dcterms:modified>
</cp:coreProperties>
</file>